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https://d.docs.live.net/fdc73e368eb453fc/Documents/Money ^0 Taxes/Pay Info/Pay Program/"/>
    </mc:Choice>
  </mc:AlternateContent>
  <xr:revisionPtr revIDLastSave="4" documentId="8_{DCE3A7F1-2D29-4EB9-977A-2739DA702676}" xr6:coauthVersionLast="45" xr6:coauthVersionMax="45" xr10:uidLastSave="{821B982A-AC1F-4CF1-B869-CBF841BEEEE8}"/>
  <workbookProtection workbookAlgorithmName="SHA-512" workbookHashValue="l6XdzeT/h/B8uM0+IDUauF/1CYnMKEtAPYP0hH+q0G0u30PWMBeWHiiw0b0L4cKSkVeoCYIt2haZSmC9rB9Sgw==" workbookSaltValue="vr6xnqlK8HkaSpiizP/b4w==" workbookSpinCount="100000" lockStructure="1"/>
  <bookViews>
    <workbookView xWindow="-120" yWindow="-120" windowWidth="24240" windowHeight="13140" tabRatio="928" xr2:uid="{00000000-000D-0000-FFFF-FFFF00000000}"/>
  </bookViews>
  <sheets>
    <sheet name="Start Page" sheetId="11" r:id="rId1"/>
    <sheet name="GS Pay Calculator" sheetId="26" state="hidden" r:id="rId2"/>
    <sheet name="GS Pay - No Locality" sheetId="27" state="hidden" r:id="rId3"/>
    <sheet name="Locality Rates" sheetId="28" state="hidden" r:id="rId4"/>
    <sheet name="Pay Retention &amp; Special Rates" sheetId="25" r:id="rId5"/>
    <sheet name="GS Pay Scale" sheetId="7" r:id="rId6"/>
    <sheet name="Shift Firefighters" sheetId="1" r:id="rId7"/>
    <sheet name="Chief, Training, Inspectors" sheetId="4" r:id="rId8"/>
  </sheets>
  <externalReferences>
    <externalReference r:id="rId9"/>
    <externalReference r:id="rId10"/>
  </externalReferences>
  <definedNames>
    <definedName name="COLA">#REF!</definedName>
    <definedName name="Hours">[1]Data!$A$6:$A$8</definedName>
    <definedName name="Inspectors">'GS Pay Calculator'!$A$33:$A$35</definedName>
    <definedName name="Locality">'Locality Rates'!$A$2:$A$65</definedName>
    <definedName name="Locality2005">'[2]Locality Rates'!$A$2:$A$52</definedName>
    <definedName name="Payperiods">'GS Pay Calculator'!#REF!</definedName>
    <definedName name="Post">'GS Pay Calculator'!$A$37:$A$38</definedName>
    <definedName name="_xlnm.Print_Area" localSheetId="7">'Chief, Training, Inspectors'!$A$1:$M$151</definedName>
    <definedName name="_xlnm.Print_Area" localSheetId="3">'Locality Rates'!$A$1:$C$69</definedName>
    <definedName name="Schedule">[1]Data!$A$2:$A$3</definedName>
    <definedName name="Shift">'GS Pay Calculator'!$A$31:$A$34</definedName>
    <definedName name="Shift1">'GS Pay Calculator'!#REF!</definedName>
    <definedName name="TABLE" localSheetId="5">'GS Pay Scale'!$A$6:$K$18</definedName>
    <definedName name="TABLE_10" localSheetId="5">'GS Pay Scale'!$A$6:$K$18</definedName>
    <definedName name="TABLE_11" localSheetId="5">'GS Pay Scale'!$A$6:$K$18</definedName>
    <definedName name="TABLE_12" localSheetId="5">'GS Pay Scale'!$A$6:$K$18</definedName>
    <definedName name="TABLE_13" localSheetId="5">'GS Pay Scale'!$A$6:$K$18</definedName>
    <definedName name="TABLE_14" localSheetId="5">'GS Pay Scale'!$A$6:$K$18</definedName>
    <definedName name="TABLE_15" localSheetId="5">'GS Pay Scale'!$A$6:$K$18</definedName>
    <definedName name="TABLE_16" localSheetId="5">'GS Pay Scale'!$A$6:$K$18</definedName>
    <definedName name="TABLE_17" localSheetId="5">'GS Pay Scale'!$A$6:$K$18</definedName>
    <definedName name="TABLE_18" localSheetId="5">'GS Pay Scale'!$A$6:$K$18</definedName>
    <definedName name="TABLE_19" localSheetId="5">'GS Pay Scale'!$A$6:$K$18</definedName>
    <definedName name="TABLE_2" localSheetId="5">'GS Pay Scale'!$A$6:$K$18</definedName>
    <definedName name="TABLE_20" localSheetId="5">'GS Pay Scale'!$A$6:$K$18</definedName>
    <definedName name="TABLE_21" localSheetId="5">'GS Pay Scale'!$A$6:$K$18</definedName>
    <definedName name="TABLE_22" localSheetId="5">'GS Pay Scale'!$A$6:$K$18</definedName>
    <definedName name="TABLE_23" localSheetId="5">'GS Pay Scale'!$A$6:$K$18</definedName>
    <definedName name="TABLE_24" localSheetId="5">'GS Pay Scale'!$A$6:$K$18</definedName>
    <definedName name="TABLE_25" localSheetId="5">'GS Pay Scale'!$A$6:$K$18</definedName>
    <definedName name="TABLE_26" localSheetId="5">'GS Pay Scale'!$A$6:$K$18</definedName>
    <definedName name="TABLE_27" localSheetId="5">'GS Pay Scale'!$A$6:$K$18</definedName>
    <definedName name="TABLE_28" localSheetId="5">'GS Pay Scale'!$A$6:$K$18</definedName>
    <definedName name="TABLE_29" localSheetId="5">'GS Pay Scale'!$A$6:$K$18</definedName>
    <definedName name="TABLE_3" localSheetId="5">'GS Pay Scale'!$A$6:$K$18</definedName>
    <definedName name="TABLE_30" localSheetId="5">'GS Pay Scale'!$A$6:$K$18</definedName>
    <definedName name="TABLE_31" localSheetId="5">'GS Pay Scale'!$A$6:$K$18</definedName>
    <definedName name="TABLE_32" localSheetId="5">'GS Pay Scale'!$A$22:$K$33</definedName>
    <definedName name="TABLE_4" localSheetId="5">'GS Pay Scale'!$A$6:$K$18</definedName>
    <definedName name="TABLE_5" localSheetId="5">'GS Pay Scale'!$A$6:$K$18</definedName>
    <definedName name="TABLE_6" localSheetId="5">'GS Pay Scale'!$A$6:$K$18</definedName>
    <definedName name="TABLE_7" localSheetId="5">'GS Pay Scale'!$A$6:$K$18</definedName>
    <definedName name="TABLE_8" localSheetId="5">'GS Pay Scale'!$A$6:$K$18</definedName>
    <definedName name="TABLE_9" localSheetId="5">'GS Pay Scale'!$A$6:$K$18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28" l="1"/>
  <c r="C24" i="28" s="1"/>
  <c r="A2" i="4" l="1"/>
  <c r="A2" i="1"/>
  <c r="A54" i="11" l="1"/>
  <c r="A15" i="11" l="1"/>
  <c r="E56" i="28" l="1"/>
  <c r="C56" i="28" s="1"/>
  <c r="E50" i="28"/>
  <c r="C50" i="28" s="1"/>
  <c r="E41" i="28"/>
  <c r="C41" i="28" s="1"/>
  <c r="E12" i="28"/>
  <c r="C12" i="28" s="1"/>
  <c r="E9" i="28"/>
  <c r="C9" i="28" s="1"/>
  <c r="E57" i="28" l="1"/>
  <c r="C57" i="28" s="1"/>
  <c r="E55" i="28"/>
  <c r="C55" i="28" s="1"/>
  <c r="E54" i="28"/>
  <c r="C54" i="28" s="1"/>
  <c r="E53" i="28"/>
  <c r="C53" i="28" s="1"/>
  <c r="E52" i="28"/>
  <c r="C52" i="28" s="1"/>
  <c r="E51" i="28"/>
  <c r="C51" i="28" s="1"/>
  <c r="E27" i="28"/>
  <c r="C27" i="28" s="1"/>
  <c r="E26" i="28"/>
  <c r="C26" i="28" s="1"/>
  <c r="E25" i="28"/>
  <c r="C25" i="28" s="1"/>
  <c r="E23" i="28"/>
  <c r="C23" i="28" s="1"/>
  <c r="E22" i="28"/>
  <c r="C22" i="28" s="1"/>
  <c r="E21" i="28"/>
  <c r="C21" i="28" s="1"/>
  <c r="E20" i="28"/>
  <c r="C20" i="28" s="1"/>
  <c r="C62" i="11" l="1"/>
  <c r="A5" i="25"/>
  <c r="E65" i="28"/>
  <c r="C65" i="28" s="1"/>
  <c r="E64" i="28"/>
  <c r="C64" i="28" s="1"/>
  <c r="E28" i="28"/>
  <c r="C28" i="28" s="1"/>
  <c r="E29" i="28"/>
  <c r="C29" i="28" s="1"/>
  <c r="E4" i="28"/>
  <c r="C4" i="28" s="1"/>
  <c r="E3" i="28"/>
  <c r="C3" i="28" s="1"/>
  <c r="E63" i="28"/>
  <c r="C63" i="28" s="1"/>
  <c r="E62" i="28"/>
  <c r="C62" i="28" s="1"/>
  <c r="E61" i="28"/>
  <c r="C61" i="28" s="1"/>
  <c r="E60" i="28"/>
  <c r="C60" i="28" s="1"/>
  <c r="E59" i="28"/>
  <c r="C59" i="28" s="1"/>
  <c r="E58" i="28"/>
  <c r="C58" i="28" s="1"/>
  <c r="E49" i="28"/>
  <c r="C49" i="28" s="1"/>
  <c r="E48" i="28"/>
  <c r="C48" i="28" s="1"/>
  <c r="E47" i="28"/>
  <c r="C47" i="28" s="1"/>
  <c r="E46" i="28"/>
  <c r="C46" i="28" s="1"/>
  <c r="E45" i="28"/>
  <c r="C45" i="28" s="1"/>
  <c r="E44" i="28"/>
  <c r="C44" i="28" s="1"/>
  <c r="E43" i="28"/>
  <c r="C43" i="28" s="1"/>
  <c r="E42" i="28"/>
  <c r="C42" i="28" s="1"/>
  <c r="E40" i="28"/>
  <c r="C40" i="28" s="1"/>
  <c r="E39" i="28"/>
  <c r="C39" i="28" s="1"/>
  <c r="E38" i="28"/>
  <c r="C38" i="28" s="1"/>
  <c r="E37" i="28"/>
  <c r="C37" i="28" s="1"/>
  <c r="E36" i="28"/>
  <c r="C36" i="28" s="1"/>
  <c r="E35" i="28"/>
  <c r="C35" i="28" s="1"/>
  <c r="E34" i="28"/>
  <c r="C34" i="28" s="1"/>
  <c r="E33" i="28"/>
  <c r="C33" i="28" s="1"/>
  <c r="E32" i="28"/>
  <c r="C32" i="28" s="1"/>
  <c r="E31" i="28"/>
  <c r="C31" i="28" s="1"/>
  <c r="E30" i="28"/>
  <c r="C30" i="28" s="1"/>
  <c r="E18" i="28"/>
  <c r="C18" i="28" s="1"/>
  <c r="E17" i="28"/>
  <c r="C17" i="28" s="1"/>
  <c r="E16" i="28"/>
  <c r="C16" i="28" s="1"/>
  <c r="E15" i="28"/>
  <c r="C15" i="28" s="1"/>
  <c r="E14" i="28"/>
  <c r="C14" i="28" s="1"/>
  <c r="E13" i="28"/>
  <c r="C13" i="28" s="1"/>
  <c r="E11" i="28"/>
  <c r="C11" i="28" s="1"/>
  <c r="E10" i="28"/>
  <c r="C10" i="28" s="1"/>
  <c r="E8" i="28"/>
  <c r="C8" i="28" s="1"/>
  <c r="E7" i="28"/>
  <c r="C7" i="28" s="1"/>
  <c r="E6" i="28"/>
  <c r="C6" i="28" s="1"/>
  <c r="E5" i="28"/>
  <c r="C5" i="28" s="1"/>
  <c r="E2" i="28"/>
  <c r="C2" i="28" s="1"/>
  <c r="G46" i="11"/>
  <c r="G4" i="7" s="1"/>
  <c r="A2" i="7"/>
  <c r="K17" i="26"/>
  <c r="E10" i="26" s="1"/>
  <c r="K18" i="26"/>
  <c r="K19" i="26"/>
  <c r="K20" i="26"/>
  <c r="K21" i="26"/>
  <c r="K22" i="26"/>
  <c r="K23" i="26"/>
  <c r="K24" i="26"/>
  <c r="F15" i="25"/>
  <c r="C46" i="11"/>
  <c r="F25" i="25"/>
  <c r="F28" i="25" s="1"/>
  <c r="B23" i="25"/>
  <c r="B26" i="25" s="1"/>
  <c r="G3" i="4"/>
  <c r="B45" i="4" s="1"/>
  <c r="B48" i="4" s="1"/>
  <c r="G3" i="1"/>
  <c r="B46" i="1" s="1"/>
  <c r="B49" i="1" s="1"/>
  <c r="J17" i="26"/>
  <c r="J18" i="26" s="1"/>
  <c r="J19" i="26" s="1"/>
  <c r="J20" i="26" s="1"/>
  <c r="J21" i="26" s="1"/>
  <c r="J22" i="26" s="1"/>
  <c r="J23" i="26" s="1"/>
  <c r="J24" i="26" s="1"/>
  <c r="D2" i="26"/>
  <c r="F2" i="26" s="1"/>
  <c r="H2" i="26" s="1"/>
  <c r="J2" i="26" s="1"/>
  <c r="B16" i="26" s="1"/>
  <c r="D16" i="26" s="1"/>
  <c r="F16" i="26" s="1"/>
  <c r="H16" i="26" s="1"/>
  <c r="A58" i="11"/>
  <c r="A59" i="11" s="1"/>
  <c r="A60" i="11" s="1"/>
  <c r="A61" i="11" s="1"/>
  <c r="H20" i="25" l="1"/>
  <c r="H24" i="25" s="1"/>
  <c r="H23" i="25" s="1"/>
  <c r="G3" i="7"/>
  <c r="A1" i="7"/>
  <c r="F4" i="1"/>
  <c r="A1" i="4"/>
  <c r="F4" i="4"/>
  <c r="A1" i="1"/>
  <c r="E5" i="7"/>
  <c r="B102" i="4"/>
  <c r="B105" i="4" s="1"/>
  <c r="B57" i="4"/>
  <c r="B60" i="4" s="1"/>
  <c r="B34" i="4"/>
  <c r="B37" i="4" s="1"/>
  <c r="B79" i="4"/>
  <c r="B82" i="4" s="1"/>
  <c r="B68" i="4"/>
  <c r="B71" i="4" s="1"/>
  <c r="C58" i="11"/>
  <c r="C59" i="11" s="1"/>
  <c r="C60" i="11" s="1"/>
  <c r="C61" i="11" s="1"/>
  <c r="B113" i="4"/>
  <c r="B116" i="4" s="1"/>
  <c r="B12" i="4"/>
  <c r="B15" i="4" s="1"/>
  <c r="B23" i="4"/>
  <c r="B26" i="4" s="1"/>
  <c r="B135" i="4"/>
  <c r="B138" i="4" s="1"/>
  <c r="B124" i="4"/>
  <c r="B127" i="4" s="1"/>
  <c r="B90" i="4"/>
  <c r="B93" i="4" s="1"/>
  <c r="B74" i="1"/>
  <c r="B77" i="1" s="1"/>
  <c r="B110" i="1"/>
  <c r="B113" i="1" s="1"/>
  <c r="D11" i="26"/>
  <c r="F11" i="26" s="1"/>
  <c r="H11" i="26" s="1"/>
  <c r="J11" i="26" s="1"/>
  <c r="B25" i="26" s="1"/>
  <c r="D25" i="26" s="1"/>
  <c r="F25" i="26" s="1"/>
  <c r="H25" i="26" s="1"/>
  <c r="B12" i="27" s="1"/>
  <c r="B37" i="1"/>
  <c r="B40" i="1" s="1"/>
  <c r="B65" i="1"/>
  <c r="B68" i="1" s="1"/>
  <c r="B101" i="1"/>
  <c r="B104" i="1" s="1"/>
  <c r="D20" i="25"/>
  <c r="D22" i="25" s="1"/>
  <c r="D28" i="25" s="1"/>
  <c r="B55" i="1"/>
  <c r="B58" i="1" s="1"/>
  <c r="B19" i="1"/>
  <c r="B22" i="1" s="1"/>
  <c r="B28" i="1"/>
  <c r="B31" i="1" s="1"/>
  <c r="B83" i="1"/>
  <c r="B86" i="1" s="1"/>
  <c r="B10" i="1"/>
  <c r="B13" i="1" s="1"/>
  <c r="B92" i="1"/>
  <c r="B95" i="1" s="1"/>
  <c r="E9" i="26"/>
  <c r="G9" i="26" s="1"/>
  <c r="I9" i="26" s="1"/>
  <c r="K9" i="26" s="1"/>
  <c r="C23" i="26" s="1"/>
  <c r="E23" i="26" s="1"/>
  <c r="G23" i="26" s="1"/>
  <c r="I23" i="26" s="1"/>
  <c r="D5" i="26"/>
  <c r="F5" i="26" s="1"/>
  <c r="H5" i="26" s="1"/>
  <c r="J5" i="26" s="1"/>
  <c r="B19" i="26" s="1"/>
  <c r="D19" i="26" s="1"/>
  <c r="F19" i="26" s="1"/>
  <c r="H19" i="26" s="1"/>
  <c r="B6" i="27" s="1"/>
  <c r="E4" i="26"/>
  <c r="G4" i="26" s="1"/>
  <c r="I4" i="26" s="1"/>
  <c r="K4" i="26" s="1"/>
  <c r="C18" i="26" s="1"/>
  <c r="E18" i="26" s="1"/>
  <c r="G18" i="26" s="1"/>
  <c r="I18" i="26" s="1"/>
  <c r="D14" i="26"/>
  <c r="F14" i="26" s="1"/>
  <c r="H14" i="26" s="1"/>
  <c r="J14" i="26" s="1"/>
  <c r="B28" i="26" s="1"/>
  <c r="D28" i="26" s="1"/>
  <c r="F28" i="26" s="1"/>
  <c r="H28" i="26" s="1"/>
  <c r="B15" i="27" s="1"/>
  <c r="D7" i="26"/>
  <c r="F7" i="26" s="1"/>
  <c r="H7" i="26" s="1"/>
  <c r="J7" i="26" s="1"/>
  <c r="B21" i="26" s="1"/>
  <c r="D21" i="26" s="1"/>
  <c r="F21" i="26" s="1"/>
  <c r="H21" i="26" s="1"/>
  <c r="B8" i="27" s="1"/>
  <c r="D13" i="26"/>
  <c r="F13" i="26" s="1"/>
  <c r="H13" i="26" s="1"/>
  <c r="J13" i="26" s="1"/>
  <c r="B27" i="26" s="1"/>
  <c r="D27" i="26" s="1"/>
  <c r="F27" i="26" s="1"/>
  <c r="H27" i="26" s="1"/>
  <c r="B14" i="27" s="1"/>
  <c r="D8" i="26"/>
  <c r="F8" i="26" s="1"/>
  <c r="H8" i="26" s="1"/>
  <c r="J8" i="26" s="1"/>
  <c r="B22" i="26" s="1"/>
  <c r="D22" i="26" s="1"/>
  <c r="F22" i="26" s="1"/>
  <c r="H22" i="26" s="1"/>
  <c r="B9" i="27" s="1"/>
  <c r="E7" i="26"/>
  <c r="G7" i="26" s="1"/>
  <c r="I7" i="26" s="1"/>
  <c r="K7" i="26" s="1"/>
  <c r="C21" i="26" s="1"/>
  <c r="E21" i="26" s="1"/>
  <c r="G21" i="26" s="1"/>
  <c r="I21" i="26" s="1"/>
  <c r="E8" i="26"/>
  <c r="G8" i="26" s="1"/>
  <c r="I8" i="26" s="1"/>
  <c r="K8" i="26" s="1"/>
  <c r="C22" i="26" s="1"/>
  <c r="E22" i="26" s="1"/>
  <c r="G22" i="26" s="1"/>
  <c r="I22" i="26" s="1"/>
  <c r="E13" i="26"/>
  <c r="G13" i="26" s="1"/>
  <c r="I13" i="26" s="1"/>
  <c r="K13" i="26" s="1"/>
  <c r="C27" i="26" s="1"/>
  <c r="E27" i="26" s="1"/>
  <c r="G27" i="26" s="1"/>
  <c r="I27" i="26" s="1"/>
  <c r="D12" i="26"/>
  <c r="F12" i="26" s="1"/>
  <c r="H12" i="26" s="1"/>
  <c r="J12" i="26" s="1"/>
  <c r="B26" i="26" s="1"/>
  <c r="D26" i="26" s="1"/>
  <c r="F26" i="26" s="1"/>
  <c r="H26" i="26" s="1"/>
  <c r="B13" i="27" s="1"/>
  <c r="E11" i="26"/>
  <c r="G11" i="26" s="1"/>
  <c r="I11" i="26" s="1"/>
  <c r="K11" i="26" s="1"/>
  <c r="C25" i="26" s="1"/>
  <c r="E25" i="26" s="1"/>
  <c r="G25" i="26" s="1"/>
  <c r="I25" i="26" s="1"/>
  <c r="E14" i="26"/>
  <c r="G14" i="26" s="1"/>
  <c r="I14" i="26" s="1"/>
  <c r="K14" i="26" s="1"/>
  <c r="C28" i="26" s="1"/>
  <c r="E28" i="26" s="1"/>
  <c r="G28" i="26" s="1"/>
  <c r="I28" i="26" s="1"/>
  <c r="D4" i="26"/>
  <c r="F4" i="26" s="1"/>
  <c r="H4" i="26" s="1"/>
  <c r="J4" i="26" s="1"/>
  <c r="B18" i="26" s="1"/>
  <c r="D18" i="26" s="1"/>
  <c r="F18" i="26" s="1"/>
  <c r="H18" i="26" s="1"/>
  <c r="B5" i="27" s="1"/>
  <c r="E5" i="26"/>
  <c r="G5" i="26" s="1"/>
  <c r="I5" i="26" s="1"/>
  <c r="K5" i="26" s="1"/>
  <c r="C19" i="26" s="1"/>
  <c r="E19" i="26" s="1"/>
  <c r="G19" i="26" s="1"/>
  <c r="I19" i="26" s="1"/>
  <c r="D6" i="26"/>
  <c r="F6" i="26" s="1"/>
  <c r="H6" i="26" s="1"/>
  <c r="J6" i="26" s="1"/>
  <c r="B20" i="26" s="1"/>
  <c r="D20" i="26" s="1"/>
  <c r="F20" i="26" s="1"/>
  <c r="H20" i="26" s="1"/>
  <c r="B7" i="27" s="1"/>
  <c r="E6" i="26"/>
  <c r="G6" i="26" s="1"/>
  <c r="I6" i="26" s="1"/>
  <c r="K6" i="26" s="1"/>
  <c r="C20" i="26" s="1"/>
  <c r="E20" i="26" s="1"/>
  <c r="G20" i="26" s="1"/>
  <c r="I20" i="26" s="1"/>
  <c r="D3" i="26"/>
  <c r="F3" i="26" s="1"/>
  <c r="H3" i="26" s="1"/>
  <c r="J3" i="26" s="1"/>
  <c r="B17" i="26" s="1"/>
  <c r="D17" i="26" s="1"/>
  <c r="F17" i="26" s="1"/>
  <c r="H17" i="26" s="1"/>
  <c r="B4" i="27" s="1"/>
  <c r="E3" i="26"/>
  <c r="G3" i="26" s="1"/>
  <c r="I3" i="26" s="1"/>
  <c r="K3" i="26" s="1"/>
  <c r="C17" i="26" s="1"/>
  <c r="E17" i="26" s="1"/>
  <c r="G17" i="26" s="1"/>
  <c r="I17" i="26" s="1"/>
  <c r="D10" i="26"/>
  <c r="F10" i="26" s="1"/>
  <c r="H10" i="26" s="1"/>
  <c r="J10" i="26" s="1"/>
  <c r="B24" i="26" s="1"/>
  <c r="D24" i="26" s="1"/>
  <c r="F24" i="26" s="1"/>
  <c r="H24" i="26" s="1"/>
  <c r="B11" i="27" s="1"/>
  <c r="D9" i="26"/>
  <c r="F9" i="26" s="1"/>
  <c r="H9" i="26" s="1"/>
  <c r="J9" i="26" s="1"/>
  <c r="B23" i="26" s="1"/>
  <c r="D23" i="26" s="1"/>
  <c r="F23" i="26" s="1"/>
  <c r="H23" i="26" s="1"/>
  <c r="B10" i="27" s="1"/>
  <c r="E12" i="26"/>
  <c r="G12" i="26" s="1"/>
  <c r="I12" i="26" s="1"/>
  <c r="K12" i="26" s="1"/>
  <c r="C26" i="26" s="1"/>
  <c r="E26" i="26" s="1"/>
  <c r="G26" i="26" s="1"/>
  <c r="I26" i="26" s="1"/>
  <c r="G10" i="26"/>
  <c r="I10" i="26" s="1"/>
  <c r="K10" i="26" s="1"/>
  <c r="C24" i="26" s="1"/>
  <c r="E24" i="26" s="1"/>
  <c r="G24" i="26" s="1"/>
  <c r="I24" i="26" s="1"/>
  <c r="A19" i="11"/>
  <c r="H22" i="25" l="1"/>
  <c r="H27" i="25" s="1"/>
  <c r="B14" i="7"/>
  <c r="D52" i="1" s="1"/>
  <c r="D54" i="1" s="1"/>
  <c r="D60" i="1" s="1"/>
  <c r="B9" i="7"/>
  <c r="D7" i="1" s="1"/>
  <c r="D9" i="1" s="1"/>
  <c r="D15" i="1" s="1"/>
  <c r="B10" i="7"/>
  <c r="D16" i="1" s="1"/>
  <c r="D18" i="1" s="1"/>
  <c r="D24" i="1" s="1"/>
  <c r="B19" i="7"/>
  <c r="D98" i="1" s="1"/>
  <c r="D100" i="1" s="1"/>
  <c r="D106" i="1" s="1"/>
  <c r="B11" i="7"/>
  <c r="D29" i="4" s="1"/>
  <c r="D33" i="4" s="1"/>
  <c r="B15" i="7"/>
  <c r="D74" i="4" s="1"/>
  <c r="B13" i="7"/>
  <c r="D52" i="4" s="1"/>
  <c r="B17" i="7"/>
  <c r="D80" i="1" s="1"/>
  <c r="D82" i="1" s="1"/>
  <c r="D88" i="1" s="1"/>
  <c r="B20" i="7"/>
  <c r="D130" i="4" s="1"/>
  <c r="D25" i="25"/>
  <c r="D21" i="25"/>
  <c r="C13" i="27"/>
  <c r="D13" i="27" s="1"/>
  <c r="E13" i="27" s="1"/>
  <c r="C4" i="27"/>
  <c r="D4" i="27" s="1"/>
  <c r="C7" i="27"/>
  <c r="C12" i="7" s="1"/>
  <c r="C15" i="27"/>
  <c r="C20" i="7" s="1"/>
  <c r="B18" i="7"/>
  <c r="D108" i="4" s="1"/>
  <c r="B12" i="7"/>
  <c r="D34" i="1" s="1"/>
  <c r="D36" i="1" s="1"/>
  <c r="D42" i="1" s="1"/>
  <c r="C6" i="27"/>
  <c r="C11" i="7" s="1"/>
  <c r="C10" i="27"/>
  <c r="D10" i="27" s="1"/>
  <c r="C11" i="27"/>
  <c r="C16" i="7" s="1"/>
  <c r="C9" i="27"/>
  <c r="D9" i="27" s="1"/>
  <c r="C14" i="27"/>
  <c r="C19" i="7" s="1"/>
  <c r="C5" i="27"/>
  <c r="C10" i="7" s="1"/>
  <c r="C12" i="27"/>
  <c r="D12" i="27" s="1"/>
  <c r="B16" i="7"/>
  <c r="D85" i="4" s="1"/>
  <c r="C8" i="27"/>
  <c r="C13" i="7" s="1"/>
  <c r="H21" i="25" l="1"/>
  <c r="H30" i="25"/>
  <c r="D63" i="4"/>
  <c r="D65" i="4" s="1"/>
  <c r="D18" i="7"/>
  <c r="F89" i="1" s="1"/>
  <c r="F91" i="1" s="1"/>
  <c r="F97" i="1" s="1"/>
  <c r="D43" i="1"/>
  <c r="D45" i="1" s="1"/>
  <c r="D18" i="4"/>
  <c r="D22" i="4" s="1"/>
  <c r="D62" i="1"/>
  <c r="D64" i="1" s="1"/>
  <c r="D70" i="1" s="1"/>
  <c r="D119" i="4"/>
  <c r="D121" i="4" s="1"/>
  <c r="D97" i="4"/>
  <c r="D101" i="4" s="1"/>
  <c r="D31" i="4"/>
  <c r="D39" i="4" s="1"/>
  <c r="D7" i="4"/>
  <c r="D9" i="4" s="1"/>
  <c r="D107" i="1"/>
  <c r="D109" i="1" s="1"/>
  <c r="D25" i="1"/>
  <c r="D27" i="1" s="1"/>
  <c r="D8" i="27"/>
  <c r="E8" i="27" s="1"/>
  <c r="D5" i="27"/>
  <c r="E5" i="27" s="1"/>
  <c r="D89" i="1"/>
  <c r="D91" i="1" s="1"/>
  <c r="D97" i="1" s="1"/>
  <c r="D15" i="27"/>
  <c r="E15" i="27" s="1"/>
  <c r="D11" i="27"/>
  <c r="E11" i="27" s="1"/>
  <c r="C9" i="7"/>
  <c r="E7" i="1" s="1"/>
  <c r="E9" i="1" s="1"/>
  <c r="E15" i="1" s="1"/>
  <c r="D7" i="27"/>
  <c r="E7" i="27" s="1"/>
  <c r="C18" i="7"/>
  <c r="E89" i="1" s="1"/>
  <c r="E91" i="1" s="1"/>
  <c r="D40" i="4"/>
  <c r="D42" i="4" s="1"/>
  <c r="D14" i="27"/>
  <c r="D19" i="7" s="1"/>
  <c r="D71" i="1"/>
  <c r="G122" i="1" s="1"/>
  <c r="C14" i="7"/>
  <c r="E52" i="1" s="1"/>
  <c r="E54" i="1" s="1"/>
  <c r="E60" i="1" s="1"/>
  <c r="D6" i="27"/>
  <c r="D11" i="7" s="1"/>
  <c r="C17" i="7"/>
  <c r="E97" i="4" s="1"/>
  <c r="C15" i="7"/>
  <c r="E62" i="1" s="1"/>
  <c r="E64" i="1" s="1"/>
  <c r="E70" i="1" s="1"/>
  <c r="D32" i="4"/>
  <c r="D110" i="4"/>
  <c r="D112" i="4"/>
  <c r="E18" i="7"/>
  <c r="F13" i="27"/>
  <c r="D134" i="4"/>
  <c r="D132" i="4"/>
  <c r="D14" i="7"/>
  <c r="E9" i="27"/>
  <c r="D35" i="1"/>
  <c r="D39" i="1"/>
  <c r="D78" i="4"/>
  <c r="D76" i="4"/>
  <c r="E71" i="1"/>
  <c r="E73" i="1" s="1"/>
  <c r="E79" i="1" s="1"/>
  <c r="E85" i="4"/>
  <c r="D53" i="1"/>
  <c r="D57" i="1"/>
  <c r="E98" i="1"/>
  <c r="E100" i="1" s="1"/>
  <c r="E106" i="1" s="1"/>
  <c r="E119" i="4"/>
  <c r="D12" i="1"/>
  <c r="D8" i="1"/>
  <c r="D89" i="4"/>
  <c r="G149" i="4"/>
  <c r="D35" i="4" s="1"/>
  <c r="D34" i="4" s="1"/>
  <c r="D87" i="4"/>
  <c r="E40" i="4"/>
  <c r="E34" i="1"/>
  <c r="E36" i="1" s="1"/>
  <c r="E42" i="1" s="1"/>
  <c r="E10" i="27"/>
  <c r="D15" i="7"/>
  <c r="D56" i="4"/>
  <c r="D54" i="4"/>
  <c r="D21" i="1"/>
  <c r="D17" i="1"/>
  <c r="E4" i="27"/>
  <c r="D9" i="7"/>
  <c r="E130" i="4"/>
  <c r="E107" i="1"/>
  <c r="E109" i="1" s="1"/>
  <c r="E115" i="1" s="1"/>
  <c r="E29" i="4"/>
  <c r="E25" i="1"/>
  <c r="E27" i="1" s="1"/>
  <c r="E33" i="1" s="1"/>
  <c r="D17" i="7"/>
  <c r="E12" i="27"/>
  <c r="E18" i="4"/>
  <c r="E16" i="1"/>
  <c r="E18" i="1" s="1"/>
  <c r="E24" i="1" s="1"/>
  <c r="D85" i="1"/>
  <c r="D81" i="1"/>
  <c r="E43" i="1"/>
  <c r="E45" i="1" s="1"/>
  <c r="E51" i="1" s="1"/>
  <c r="E52" i="4"/>
  <c r="D99" i="1"/>
  <c r="D103" i="1"/>
  <c r="D62" i="4" l="1"/>
  <c r="D118" i="4"/>
  <c r="D84" i="4"/>
  <c r="E94" i="1"/>
  <c r="E97" i="1"/>
  <c r="D30" i="1"/>
  <c r="D33" i="1"/>
  <c r="D48" i="1"/>
  <c r="D51" i="1"/>
  <c r="D95" i="4"/>
  <c r="D108" i="1"/>
  <c r="D115" i="1"/>
  <c r="D140" i="4"/>
  <c r="D67" i="4"/>
  <c r="D70" i="4" s="1"/>
  <c r="F108" i="4"/>
  <c r="F112" i="4" s="1"/>
  <c r="D10" i="7"/>
  <c r="F18" i="4" s="1"/>
  <c r="D13" i="7"/>
  <c r="F43" i="1" s="1"/>
  <c r="F45" i="1" s="1"/>
  <c r="F51" i="1" s="1"/>
  <c r="D44" i="1"/>
  <c r="D20" i="4"/>
  <c r="D123" i="4"/>
  <c r="D126" i="4" s="1"/>
  <c r="D99" i="4"/>
  <c r="D11" i="4"/>
  <c r="D10" i="4" s="1"/>
  <c r="D67" i="1"/>
  <c r="D63" i="1"/>
  <c r="D36" i="4"/>
  <c r="D30" i="4"/>
  <c r="D112" i="1"/>
  <c r="D26" i="1"/>
  <c r="E14" i="27"/>
  <c r="F14" i="27" s="1"/>
  <c r="D90" i="1"/>
  <c r="E7" i="4"/>
  <c r="E11" i="4" s="1"/>
  <c r="D16" i="7"/>
  <c r="F85" i="4" s="1"/>
  <c r="D94" i="1"/>
  <c r="D12" i="7"/>
  <c r="F34" i="1" s="1"/>
  <c r="F36" i="1" s="1"/>
  <c r="F42" i="1" s="1"/>
  <c r="D20" i="7"/>
  <c r="F130" i="4" s="1"/>
  <c r="E93" i="1"/>
  <c r="E92" i="1" s="1"/>
  <c r="D44" i="4"/>
  <c r="D47" i="4" s="1"/>
  <c r="E90" i="1"/>
  <c r="E108" i="4"/>
  <c r="E110" i="4" s="1"/>
  <c r="D73" i="1"/>
  <c r="E63" i="4"/>
  <c r="E65" i="4" s="1"/>
  <c r="E74" i="4"/>
  <c r="E76" i="4" s="1"/>
  <c r="E6" i="27"/>
  <c r="E11" i="7" s="1"/>
  <c r="E80" i="1"/>
  <c r="E82" i="1" s="1"/>
  <c r="E88" i="1" s="1"/>
  <c r="D56" i="1"/>
  <c r="D55" i="1" s="1"/>
  <c r="D58" i="1" s="1"/>
  <c r="D59" i="1" s="1"/>
  <c r="D38" i="1"/>
  <c r="D37" i="1" s="1"/>
  <c r="D40" i="1" s="1"/>
  <c r="D41" i="1" s="1"/>
  <c r="D84" i="1"/>
  <c r="D83" i="1" s="1"/>
  <c r="D86" i="1" s="1"/>
  <c r="D87" i="1" s="1"/>
  <c r="D11" i="1"/>
  <c r="D10" i="1" s="1"/>
  <c r="D13" i="1" s="1"/>
  <c r="D14" i="1" s="1"/>
  <c r="D102" i="1"/>
  <c r="D101" i="1" s="1"/>
  <c r="D104" i="1" s="1"/>
  <c r="D105" i="1" s="1"/>
  <c r="D93" i="1"/>
  <c r="D92" i="1" s="1"/>
  <c r="D66" i="1"/>
  <c r="D65" i="1" s="1"/>
  <c r="D47" i="1"/>
  <c r="D46" i="1" s="1"/>
  <c r="D20" i="1"/>
  <c r="D19" i="1" s="1"/>
  <c r="D22" i="1" s="1"/>
  <c r="D23" i="1" s="1"/>
  <c r="F90" i="1"/>
  <c r="F93" i="1"/>
  <c r="F92" i="1" s="1"/>
  <c r="F94" i="1"/>
  <c r="E17" i="1"/>
  <c r="E21" i="1"/>
  <c r="E20" i="1"/>
  <c r="E19" i="1" s="1"/>
  <c r="E30" i="1"/>
  <c r="E26" i="1"/>
  <c r="E29" i="1"/>
  <c r="E28" i="1" s="1"/>
  <c r="E9" i="7"/>
  <c r="F4" i="27"/>
  <c r="E99" i="4"/>
  <c r="E101" i="4"/>
  <c r="D55" i="4"/>
  <c r="D58" i="4"/>
  <c r="D57" i="4" s="1"/>
  <c r="E15" i="7"/>
  <c r="F10" i="27"/>
  <c r="F11" i="27"/>
  <c r="E16" i="7"/>
  <c r="E66" i="1"/>
  <c r="E65" i="1" s="1"/>
  <c r="E63" i="1"/>
  <c r="E67" i="1"/>
  <c r="E89" i="4"/>
  <c r="E87" i="4"/>
  <c r="E14" i="7"/>
  <c r="F9" i="27"/>
  <c r="D137" i="4"/>
  <c r="D131" i="4"/>
  <c r="D111" i="4"/>
  <c r="D114" i="4"/>
  <c r="D113" i="4" s="1"/>
  <c r="E48" i="1"/>
  <c r="E47" i="1"/>
  <c r="E46" i="1" s="1"/>
  <c r="E44" i="1"/>
  <c r="E20" i="4"/>
  <c r="E22" i="4"/>
  <c r="E33" i="4"/>
  <c r="E31" i="4"/>
  <c r="E108" i="1"/>
  <c r="E112" i="1"/>
  <c r="E111" i="1"/>
  <c r="E110" i="1" s="1"/>
  <c r="D120" i="4"/>
  <c r="D64" i="4"/>
  <c r="E35" i="1"/>
  <c r="E39" i="1"/>
  <c r="E38" i="1"/>
  <c r="E37" i="1" s="1"/>
  <c r="D41" i="4"/>
  <c r="D91" i="4"/>
  <c r="D90" i="4" s="1"/>
  <c r="D88" i="4"/>
  <c r="E57" i="1"/>
  <c r="E53" i="1"/>
  <c r="E56" i="1"/>
  <c r="E55" i="1" s="1"/>
  <c r="E76" i="1"/>
  <c r="E72" i="1"/>
  <c r="E75" i="1"/>
  <c r="E74" i="1" s="1"/>
  <c r="H26" i="25"/>
  <c r="H25" i="25" s="1"/>
  <c r="H28" i="25" s="1"/>
  <c r="H29" i="25" s="1"/>
  <c r="D24" i="25"/>
  <c r="D23" i="25" s="1"/>
  <c r="D26" i="25" s="1"/>
  <c r="D27" i="25" s="1"/>
  <c r="D29" i="1"/>
  <c r="D28" i="1" s="1"/>
  <c r="F63" i="4"/>
  <c r="F52" i="1"/>
  <c r="F54" i="1" s="1"/>
  <c r="F60" i="1" s="1"/>
  <c r="D133" i="4"/>
  <c r="D136" i="4"/>
  <c r="D135" i="4" s="1"/>
  <c r="E13" i="7"/>
  <c r="F8" i="27"/>
  <c r="D115" i="4"/>
  <c r="D109" i="4"/>
  <c r="F29" i="4"/>
  <c r="F25" i="1"/>
  <c r="F27" i="1" s="1"/>
  <c r="F33" i="1" s="1"/>
  <c r="D111" i="1"/>
  <c r="D110" i="1" s="1"/>
  <c r="E54" i="4"/>
  <c r="E56" i="4"/>
  <c r="E12" i="1"/>
  <c r="E8" i="1"/>
  <c r="E11" i="1"/>
  <c r="E10" i="1" s="1"/>
  <c r="E17" i="7"/>
  <c r="F12" i="27"/>
  <c r="E132" i="4"/>
  <c r="E134" i="4"/>
  <c r="F15" i="27"/>
  <c r="E20" i="7"/>
  <c r="E44" i="4"/>
  <c r="E42" i="4"/>
  <c r="E123" i="4"/>
  <c r="E121" i="4"/>
  <c r="E12" i="7"/>
  <c r="F7" i="27"/>
  <c r="D75" i="4"/>
  <c r="D81" i="4"/>
  <c r="D8" i="4"/>
  <c r="F119" i="4"/>
  <c r="F98" i="1"/>
  <c r="F100" i="1" s="1"/>
  <c r="F106" i="1" s="1"/>
  <c r="G13" i="27"/>
  <c r="F18" i="7"/>
  <c r="D103" i="4"/>
  <c r="D102" i="4" s="1"/>
  <c r="D100" i="4"/>
  <c r="E10" i="7"/>
  <c r="F5" i="27"/>
  <c r="D21" i="4"/>
  <c r="D24" i="4"/>
  <c r="D23" i="4" s="1"/>
  <c r="F80" i="1"/>
  <c r="F82" i="1" s="1"/>
  <c r="F88" i="1" s="1"/>
  <c r="F97" i="4"/>
  <c r="F7" i="1"/>
  <c r="F9" i="1" s="1"/>
  <c r="F15" i="1" s="1"/>
  <c r="F7" i="4"/>
  <c r="D53" i="4"/>
  <c r="D59" i="4"/>
  <c r="F74" i="4"/>
  <c r="F62" i="1"/>
  <c r="F64" i="1" s="1"/>
  <c r="F70" i="1" s="1"/>
  <c r="D86" i="4"/>
  <c r="D92" i="4"/>
  <c r="E103" i="1"/>
  <c r="E102" i="1"/>
  <c r="E101" i="1" s="1"/>
  <c r="E99" i="1"/>
  <c r="D77" i="4"/>
  <c r="D80" i="4"/>
  <c r="D79" i="4" s="1"/>
  <c r="G108" i="4"/>
  <c r="G89" i="1"/>
  <c r="G91" i="1" s="1"/>
  <c r="G97" i="1" s="1"/>
  <c r="E95" i="4" l="1"/>
  <c r="E129" i="4"/>
  <c r="E62" i="4"/>
  <c r="D50" i="4"/>
  <c r="E39" i="4"/>
  <c r="D66" i="4"/>
  <c r="E140" i="4"/>
  <c r="E107" i="4"/>
  <c r="D104" i="4"/>
  <c r="D107" i="4"/>
  <c r="D73" i="4"/>
  <c r="D129" i="4"/>
  <c r="D75" i="1"/>
  <c r="D74" i="1" s="1"/>
  <c r="D79" i="1"/>
  <c r="D17" i="4"/>
  <c r="E50" i="4"/>
  <c r="E28" i="4"/>
  <c r="E109" i="4"/>
  <c r="D25" i="4"/>
  <c r="D28" i="4"/>
  <c r="F110" i="4"/>
  <c r="D69" i="4"/>
  <c r="D68" i="4" s="1"/>
  <c r="F16" i="1"/>
  <c r="F18" i="1" s="1"/>
  <c r="E19" i="7"/>
  <c r="G119" i="4" s="1"/>
  <c r="F52" i="4"/>
  <c r="F54" i="4" s="1"/>
  <c r="D49" i="1"/>
  <c r="D50" i="1" s="1"/>
  <c r="D19" i="4"/>
  <c r="D125" i="4"/>
  <c r="D124" i="4" s="1"/>
  <c r="D122" i="4"/>
  <c r="D98" i="4"/>
  <c r="E9" i="4"/>
  <c r="E67" i="4"/>
  <c r="E70" i="4" s="1"/>
  <c r="D37" i="4"/>
  <c r="D38" i="4" s="1"/>
  <c r="D13" i="4"/>
  <c r="D12" i="4" s="1"/>
  <c r="D14" i="4"/>
  <c r="D76" i="1"/>
  <c r="D68" i="1"/>
  <c r="D69" i="1" s="1"/>
  <c r="D113" i="1"/>
  <c r="D114" i="1" s="1"/>
  <c r="D31" i="1"/>
  <c r="D32" i="1" s="1"/>
  <c r="F40" i="4"/>
  <c r="F44" i="4" s="1"/>
  <c r="F71" i="1"/>
  <c r="F73" i="1" s="1"/>
  <c r="D95" i="1"/>
  <c r="D96" i="1" s="1"/>
  <c r="E95" i="1"/>
  <c r="E96" i="1" s="1"/>
  <c r="E81" i="1"/>
  <c r="E78" i="4"/>
  <c r="E84" i="4" s="1"/>
  <c r="F107" i="1"/>
  <c r="F109" i="1" s="1"/>
  <c r="D46" i="4"/>
  <c r="D45" i="4" s="1"/>
  <c r="D72" i="1"/>
  <c r="D43" i="4"/>
  <c r="E112" i="4"/>
  <c r="E118" i="4" s="1"/>
  <c r="E84" i="1"/>
  <c r="E83" i="1" s="1"/>
  <c r="F6" i="27"/>
  <c r="G6" i="27" s="1"/>
  <c r="E85" i="1"/>
  <c r="E68" i="1"/>
  <c r="E69" i="1" s="1"/>
  <c r="D60" i="4"/>
  <c r="D61" i="4" s="1"/>
  <c r="E40" i="1"/>
  <c r="E41" i="1" s="1"/>
  <c r="G93" i="1"/>
  <c r="G92" i="1" s="1"/>
  <c r="G94" i="1"/>
  <c r="G90" i="1"/>
  <c r="F12" i="1"/>
  <c r="F11" i="1"/>
  <c r="F10" i="1" s="1"/>
  <c r="F8" i="1"/>
  <c r="F10" i="7"/>
  <c r="G5" i="27"/>
  <c r="G40" i="4"/>
  <c r="G34" i="1"/>
  <c r="G36" i="1" s="1"/>
  <c r="G42" i="1" s="1"/>
  <c r="G15" i="27"/>
  <c r="F20" i="7"/>
  <c r="E75" i="4"/>
  <c r="E21" i="4"/>
  <c r="E24" i="4"/>
  <c r="E23" i="4" s="1"/>
  <c r="G63" i="4"/>
  <c r="G52" i="1"/>
  <c r="G54" i="1" s="1"/>
  <c r="G60" i="1" s="1"/>
  <c r="E104" i="4"/>
  <c r="E98" i="4"/>
  <c r="E104" i="1"/>
  <c r="E105" i="1" s="1"/>
  <c r="F17" i="7"/>
  <c r="G12" i="27"/>
  <c r="E77" i="1"/>
  <c r="E78" i="1" s="1"/>
  <c r="F134" i="4"/>
  <c r="F132" i="4"/>
  <c r="E113" i="1"/>
  <c r="E114" i="1" s="1"/>
  <c r="D138" i="4"/>
  <c r="D139" i="4" s="1"/>
  <c r="E92" i="4"/>
  <c r="E86" i="4"/>
  <c r="E31" i="1"/>
  <c r="E32" i="1" s="1"/>
  <c r="F19" i="7"/>
  <c r="G14" i="27"/>
  <c r="D93" i="4"/>
  <c r="D94" i="4" s="1"/>
  <c r="F78" i="4"/>
  <c r="F76" i="4"/>
  <c r="F85" i="1"/>
  <c r="F84" i="1"/>
  <c r="F83" i="1" s="1"/>
  <c r="F81" i="1"/>
  <c r="F114" i="4"/>
  <c r="F113" i="4" s="1"/>
  <c r="F111" i="4"/>
  <c r="F99" i="1"/>
  <c r="F102" i="1"/>
  <c r="F101" i="1" s="1"/>
  <c r="F103" i="1"/>
  <c r="E125" i="4"/>
  <c r="E124" i="4" s="1"/>
  <c r="E122" i="4"/>
  <c r="G80" i="1"/>
  <c r="G82" i="1" s="1"/>
  <c r="G88" i="1" s="1"/>
  <c r="G97" i="4"/>
  <c r="E55" i="4"/>
  <c r="E58" i="4"/>
  <c r="E57" i="4" s="1"/>
  <c r="F33" i="4"/>
  <c r="F31" i="4"/>
  <c r="F13" i="7"/>
  <c r="G8" i="27"/>
  <c r="F56" i="1"/>
  <c r="F55" i="1" s="1"/>
  <c r="F53" i="1"/>
  <c r="F57" i="1"/>
  <c r="E58" i="1"/>
  <c r="E59" i="1" s="1"/>
  <c r="E36" i="4"/>
  <c r="E30" i="4"/>
  <c r="F44" i="1"/>
  <c r="F47" i="1"/>
  <c r="F46" i="1" s="1"/>
  <c r="F48" i="1"/>
  <c r="E91" i="4"/>
  <c r="E90" i="4" s="1"/>
  <c r="E88" i="4"/>
  <c r="F16" i="7"/>
  <c r="G11" i="27"/>
  <c r="G7" i="1"/>
  <c r="G9" i="1" s="1"/>
  <c r="G15" i="1" s="1"/>
  <c r="G7" i="4"/>
  <c r="F87" i="4"/>
  <c r="F89" i="4"/>
  <c r="H108" i="4"/>
  <c r="H89" i="1"/>
  <c r="H91" i="1" s="1"/>
  <c r="H97" i="1" s="1"/>
  <c r="E46" i="4"/>
  <c r="E45" i="4" s="1"/>
  <c r="E43" i="4"/>
  <c r="E137" i="4"/>
  <c r="E131" i="4"/>
  <c r="G74" i="4"/>
  <c r="G62" i="1"/>
  <c r="G64" i="1" s="1"/>
  <c r="G70" i="1" s="1"/>
  <c r="G112" i="4"/>
  <c r="G110" i="4"/>
  <c r="F35" i="1"/>
  <c r="F38" i="1"/>
  <c r="F37" i="1" s="1"/>
  <c r="F39" i="1"/>
  <c r="F67" i="1"/>
  <c r="F66" i="1"/>
  <c r="F65" i="1" s="1"/>
  <c r="F63" i="1"/>
  <c r="F101" i="4"/>
  <c r="F99" i="4"/>
  <c r="G16" i="1"/>
  <c r="G18" i="1" s="1"/>
  <c r="G24" i="1" s="1"/>
  <c r="G18" i="4"/>
  <c r="G18" i="7"/>
  <c r="H13" i="27"/>
  <c r="D82" i="4"/>
  <c r="D83" i="4" s="1"/>
  <c r="E120" i="4"/>
  <c r="E126" i="4"/>
  <c r="F26" i="1"/>
  <c r="F30" i="1"/>
  <c r="F29" i="1"/>
  <c r="F28" i="1" s="1"/>
  <c r="E25" i="4"/>
  <c r="E19" i="4"/>
  <c r="G85" i="4"/>
  <c r="G71" i="1"/>
  <c r="G73" i="1" s="1"/>
  <c r="G79" i="1" s="1"/>
  <c r="F9" i="7"/>
  <c r="G4" i="27"/>
  <c r="F22" i="4"/>
  <c r="F20" i="4"/>
  <c r="F9" i="4"/>
  <c r="F11" i="4"/>
  <c r="F123" i="4"/>
  <c r="F121" i="4"/>
  <c r="F12" i="7"/>
  <c r="G7" i="27"/>
  <c r="E47" i="4"/>
  <c r="E41" i="4"/>
  <c r="G130" i="4"/>
  <c r="G107" i="1"/>
  <c r="G109" i="1" s="1"/>
  <c r="G115" i="1" s="1"/>
  <c r="E133" i="4"/>
  <c r="E136" i="4"/>
  <c r="E135" i="4" s="1"/>
  <c r="E13" i="1"/>
  <c r="E14" i="1" s="1"/>
  <c r="E59" i="4"/>
  <c r="E53" i="4"/>
  <c r="D116" i="4"/>
  <c r="D117" i="4" s="1"/>
  <c r="G43" i="1"/>
  <c r="G45" i="1" s="1"/>
  <c r="G51" i="1" s="1"/>
  <c r="G52" i="4"/>
  <c r="F65" i="4"/>
  <c r="F67" i="4"/>
  <c r="E35" i="4"/>
  <c r="E34" i="4" s="1"/>
  <c r="E32" i="4"/>
  <c r="E49" i="1"/>
  <c r="E50" i="1" s="1"/>
  <c r="E10" i="4"/>
  <c r="E13" i="4"/>
  <c r="E12" i="4" s="1"/>
  <c r="G25" i="1"/>
  <c r="G27" i="1" s="1"/>
  <c r="G33" i="1" s="1"/>
  <c r="G29" i="4"/>
  <c r="F14" i="7"/>
  <c r="G9" i="27"/>
  <c r="E64" i="4"/>
  <c r="F15" i="7"/>
  <c r="G10" i="27"/>
  <c r="E100" i="4"/>
  <c r="E103" i="4"/>
  <c r="E102" i="4" s="1"/>
  <c r="E22" i="1"/>
  <c r="E23" i="1" s="1"/>
  <c r="F95" i="1"/>
  <c r="F96" i="1" s="1"/>
  <c r="D71" i="4" l="1"/>
  <c r="D72" i="4" s="1"/>
  <c r="D26" i="4"/>
  <c r="D27" i="4" s="1"/>
  <c r="F129" i="4"/>
  <c r="D105" i="4"/>
  <c r="D106" i="4" s="1"/>
  <c r="F28" i="4"/>
  <c r="F107" i="4"/>
  <c r="G118" i="4"/>
  <c r="F112" i="1"/>
  <c r="F115" i="1"/>
  <c r="F73" i="4"/>
  <c r="F95" i="4"/>
  <c r="F140" i="4"/>
  <c r="F76" i="1"/>
  <c r="F79" i="1"/>
  <c r="F115" i="4"/>
  <c r="F118" i="4"/>
  <c r="F17" i="4"/>
  <c r="F39" i="4"/>
  <c r="F84" i="4"/>
  <c r="E14" i="4"/>
  <c r="E17" i="4"/>
  <c r="F21" i="1"/>
  <c r="F24" i="1"/>
  <c r="E73" i="4"/>
  <c r="F109" i="4"/>
  <c r="F20" i="1"/>
  <c r="F19" i="1" s="1"/>
  <c r="F56" i="4"/>
  <c r="F62" i="4" s="1"/>
  <c r="F17" i="1"/>
  <c r="G98" i="1"/>
  <c r="G100" i="1" s="1"/>
  <c r="D15" i="4"/>
  <c r="D16" i="4" s="1"/>
  <c r="D127" i="4"/>
  <c r="D128" i="4" s="1"/>
  <c r="E81" i="4"/>
  <c r="E8" i="4"/>
  <c r="E69" i="4"/>
  <c r="E68" i="4" s="1"/>
  <c r="E66" i="4"/>
  <c r="D77" i="1"/>
  <c r="D78" i="1" s="1"/>
  <c r="F42" i="4"/>
  <c r="F50" i="4" s="1"/>
  <c r="F72" i="1"/>
  <c r="F75" i="1"/>
  <c r="F74" i="1" s="1"/>
  <c r="E80" i="4"/>
  <c r="E79" i="4" s="1"/>
  <c r="E77" i="4"/>
  <c r="F108" i="1"/>
  <c r="F111" i="1"/>
  <c r="F110" i="1" s="1"/>
  <c r="D48" i="4"/>
  <c r="D49" i="4" s="1"/>
  <c r="F11" i="7"/>
  <c r="H29" i="4" s="1"/>
  <c r="E115" i="4"/>
  <c r="E114" i="4"/>
  <c r="E113" i="4" s="1"/>
  <c r="E111" i="4"/>
  <c r="E86" i="1"/>
  <c r="E87" i="1" s="1"/>
  <c r="E127" i="4"/>
  <c r="E128" i="4" s="1"/>
  <c r="G95" i="1"/>
  <c r="G96" i="1" s="1"/>
  <c r="F31" i="1"/>
  <c r="F32" i="1" s="1"/>
  <c r="F68" i="1"/>
  <c r="F69" i="1" s="1"/>
  <c r="F49" i="1"/>
  <c r="F50" i="1" s="1"/>
  <c r="F53" i="4"/>
  <c r="G132" i="4"/>
  <c r="G134" i="4"/>
  <c r="H74" i="4"/>
  <c r="H62" i="1"/>
  <c r="H64" i="1" s="1"/>
  <c r="H70" i="1" s="1"/>
  <c r="G14" i="7"/>
  <c r="H9" i="27"/>
  <c r="G31" i="4"/>
  <c r="G33" i="4"/>
  <c r="G56" i="4"/>
  <c r="G54" i="4"/>
  <c r="F120" i="4"/>
  <c r="F126" i="4"/>
  <c r="G9" i="7"/>
  <c r="H4" i="27"/>
  <c r="I89" i="1"/>
  <c r="I91" i="1" s="1"/>
  <c r="I97" i="1" s="1"/>
  <c r="I108" i="4"/>
  <c r="F103" i="4"/>
  <c r="F102" i="4" s="1"/>
  <c r="F100" i="4"/>
  <c r="G67" i="1"/>
  <c r="G63" i="1"/>
  <c r="G66" i="1"/>
  <c r="G65" i="1" s="1"/>
  <c r="F91" i="4"/>
  <c r="F90" i="4" s="1"/>
  <c r="F88" i="4"/>
  <c r="H11" i="27"/>
  <c r="G16" i="7"/>
  <c r="G11" i="7"/>
  <c r="H6" i="27"/>
  <c r="H52" i="4"/>
  <c r="H43" i="1"/>
  <c r="H45" i="1" s="1"/>
  <c r="H51" i="1" s="1"/>
  <c r="F104" i="1"/>
  <c r="F105" i="1" s="1"/>
  <c r="F77" i="4"/>
  <c r="F80" i="4"/>
  <c r="F79" i="4" s="1"/>
  <c r="H14" i="27"/>
  <c r="G19" i="7"/>
  <c r="E105" i="4"/>
  <c r="E106" i="4" s="1"/>
  <c r="G44" i="4"/>
  <c r="G42" i="4"/>
  <c r="F13" i="1"/>
  <c r="F14" i="1" s="1"/>
  <c r="H52" i="1"/>
  <c r="H54" i="1" s="1"/>
  <c r="H60" i="1" s="1"/>
  <c r="H63" i="4"/>
  <c r="G30" i="1"/>
  <c r="G29" i="1"/>
  <c r="G28" i="1" s="1"/>
  <c r="G26" i="1"/>
  <c r="G48" i="1"/>
  <c r="G47" i="1"/>
  <c r="G46" i="1" s="1"/>
  <c r="G44" i="1"/>
  <c r="G111" i="1"/>
  <c r="G110" i="1" s="1"/>
  <c r="G112" i="1"/>
  <c r="G108" i="1"/>
  <c r="F125" i="4"/>
  <c r="F124" i="4" s="1"/>
  <c r="F122" i="4"/>
  <c r="F10" i="4"/>
  <c r="F13" i="4"/>
  <c r="F12" i="4" s="1"/>
  <c r="G121" i="4"/>
  <c r="G123" i="4"/>
  <c r="H7" i="4"/>
  <c r="H7" i="1"/>
  <c r="H9" i="1" s="1"/>
  <c r="H15" i="1" s="1"/>
  <c r="E26" i="4"/>
  <c r="E27" i="4" s="1"/>
  <c r="G20" i="4"/>
  <c r="G22" i="4"/>
  <c r="F40" i="1"/>
  <c r="F41" i="1" s="1"/>
  <c r="G76" i="4"/>
  <c r="G78" i="4"/>
  <c r="E138" i="4"/>
  <c r="E139" i="4" s="1"/>
  <c r="F92" i="4"/>
  <c r="F86" i="4"/>
  <c r="H85" i="4"/>
  <c r="H71" i="1"/>
  <c r="H73" i="1" s="1"/>
  <c r="H79" i="1" s="1"/>
  <c r="F58" i="1"/>
  <c r="F59" i="1" s="1"/>
  <c r="F30" i="4"/>
  <c r="F36" i="4"/>
  <c r="G101" i="4"/>
  <c r="G99" i="4"/>
  <c r="H98" i="1"/>
  <c r="H100" i="1" s="1"/>
  <c r="H106" i="1" s="1"/>
  <c r="H119" i="4"/>
  <c r="F131" i="4"/>
  <c r="F137" i="4"/>
  <c r="H12" i="27"/>
  <c r="G17" i="7"/>
  <c r="G57" i="1"/>
  <c r="G53" i="1"/>
  <c r="G56" i="1"/>
  <c r="G55" i="1" s="1"/>
  <c r="H130" i="4"/>
  <c r="H107" i="1"/>
  <c r="H109" i="1" s="1"/>
  <c r="H115" i="1" s="1"/>
  <c r="F69" i="4"/>
  <c r="F68" i="4" s="1"/>
  <c r="F66" i="4"/>
  <c r="G12" i="7"/>
  <c r="H7" i="27"/>
  <c r="F8" i="4"/>
  <c r="F14" i="4"/>
  <c r="F19" i="4"/>
  <c r="F25" i="4"/>
  <c r="G75" i="1"/>
  <c r="G74" i="1" s="1"/>
  <c r="G76" i="1"/>
  <c r="G72" i="1"/>
  <c r="G17" i="1"/>
  <c r="G20" i="1"/>
  <c r="G19" i="1" s="1"/>
  <c r="G21" i="1"/>
  <c r="G109" i="4"/>
  <c r="G115" i="4"/>
  <c r="H93" i="1"/>
  <c r="H92" i="1" s="1"/>
  <c r="H90" i="1"/>
  <c r="H94" i="1"/>
  <c r="G9" i="4"/>
  <c r="G11" i="4"/>
  <c r="E37" i="4"/>
  <c r="E38" i="4" s="1"/>
  <c r="F32" i="4"/>
  <c r="F35" i="4"/>
  <c r="F34" i="4" s="1"/>
  <c r="G81" i="1"/>
  <c r="G85" i="1"/>
  <c r="G84" i="1"/>
  <c r="G83" i="1" s="1"/>
  <c r="F133" i="4"/>
  <c r="F136" i="4"/>
  <c r="F135" i="4" s="1"/>
  <c r="H80" i="1"/>
  <c r="H82" i="1" s="1"/>
  <c r="H88" i="1" s="1"/>
  <c r="H97" i="4"/>
  <c r="G67" i="4"/>
  <c r="G65" i="4"/>
  <c r="H15" i="27"/>
  <c r="G20" i="7"/>
  <c r="H5" i="27"/>
  <c r="G10" i="7"/>
  <c r="G15" i="7"/>
  <c r="H10" i="27"/>
  <c r="F64" i="4"/>
  <c r="F70" i="4"/>
  <c r="E60" i="4"/>
  <c r="E61" i="4" s="1"/>
  <c r="E48" i="4"/>
  <c r="E49" i="4" s="1"/>
  <c r="H40" i="4"/>
  <c r="H34" i="1"/>
  <c r="H36" i="1" s="1"/>
  <c r="H42" i="1" s="1"/>
  <c r="F24" i="4"/>
  <c r="F23" i="4" s="1"/>
  <c r="F21" i="4"/>
  <c r="G87" i="4"/>
  <c r="G89" i="4"/>
  <c r="H18" i="7"/>
  <c r="I13" i="27"/>
  <c r="F104" i="4"/>
  <c r="F98" i="4"/>
  <c r="G114" i="4"/>
  <c r="G113" i="4" s="1"/>
  <c r="G111" i="4"/>
  <c r="H112" i="4"/>
  <c r="H110" i="4"/>
  <c r="G11" i="1"/>
  <c r="G10" i="1" s="1"/>
  <c r="G12" i="1"/>
  <c r="G8" i="1"/>
  <c r="H8" i="27"/>
  <c r="G13" i="7"/>
  <c r="F86" i="1"/>
  <c r="F87" i="1" s="1"/>
  <c r="F75" i="4"/>
  <c r="F81" i="4"/>
  <c r="F43" i="4"/>
  <c r="F46" i="4"/>
  <c r="F45" i="4" s="1"/>
  <c r="E93" i="4"/>
  <c r="E94" i="4" s="1"/>
  <c r="G38" i="1"/>
  <c r="G37" i="1" s="1"/>
  <c r="G39" i="1"/>
  <c r="G35" i="1"/>
  <c r="H18" i="4"/>
  <c r="H16" i="1"/>
  <c r="H18" i="1" s="1"/>
  <c r="H24" i="1" s="1"/>
  <c r="F59" i="4" l="1"/>
  <c r="G73" i="4"/>
  <c r="G107" i="4"/>
  <c r="G50" i="4"/>
  <c r="E15" i="4"/>
  <c r="E16" i="4" s="1"/>
  <c r="F116" i="4"/>
  <c r="F117" i="4" s="1"/>
  <c r="H118" i="4"/>
  <c r="G84" i="4"/>
  <c r="G129" i="4"/>
  <c r="G62" i="4"/>
  <c r="G102" i="1"/>
  <c r="G101" i="1" s="1"/>
  <c r="G106" i="1"/>
  <c r="G95" i="4"/>
  <c r="G140" i="4"/>
  <c r="G17" i="4"/>
  <c r="G28" i="4"/>
  <c r="G39" i="4"/>
  <c r="F58" i="4"/>
  <c r="F57" i="4" s="1"/>
  <c r="F55" i="4"/>
  <c r="F22" i="1"/>
  <c r="F23" i="1" s="1"/>
  <c r="G99" i="1"/>
  <c r="G103" i="1"/>
  <c r="F47" i="4"/>
  <c r="E71" i="4"/>
  <c r="E72" i="4" s="1"/>
  <c r="F41" i="4"/>
  <c r="E82" i="4"/>
  <c r="E83" i="4" s="1"/>
  <c r="F77" i="1"/>
  <c r="F78" i="1" s="1"/>
  <c r="F113" i="1"/>
  <c r="F114" i="1" s="1"/>
  <c r="H25" i="1"/>
  <c r="H27" i="1" s="1"/>
  <c r="E116" i="4"/>
  <c r="E117" i="4" s="1"/>
  <c r="G31" i="1"/>
  <c r="G32" i="1" s="1"/>
  <c r="F82" i="4"/>
  <c r="F83" i="4" s="1"/>
  <c r="G86" i="1"/>
  <c r="G87" i="1" s="1"/>
  <c r="H95" i="1"/>
  <c r="H96" i="1" s="1"/>
  <c r="G22" i="1"/>
  <c r="G23" i="1" s="1"/>
  <c r="G113" i="1"/>
  <c r="G114" i="1" s="1"/>
  <c r="G49" i="1"/>
  <c r="G50" i="1" s="1"/>
  <c r="G40" i="1"/>
  <c r="G41" i="1" s="1"/>
  <c r="F105" i="4"/>
  <c r="F106" i="4" s="1"/>
  <c r="F71" i="4"/>
  <c r="F72" i="4" s="1"/>
  <c r="F15" i="4"/>
  <c r="F16" i="4" s="1"/>
  <c r="G68" i="1"/>
  <c r="G69" i="1" s="1"/>
  <c r="I52" i="4"/>
  <c r="I43" i="1"/>
  <c r="I45" i="1" s="1"/>
  <c r="I51" i="1" s="1"/>
  <c r="H114" i="4"/>
  <c r="H113" i="4" s="1"/>
  <c r="H111" i="4"/>
  <c r="J89" i="1"/>
  <c r="J91" i="1" s="1"/>
  <c r="J97" i="1" s="1"/>
  <c r="J108" i="4"/>
  <c r="H42" i="4"/>
  <c r="H44" i="4"/>
  <c r="I10" i="27"/>
  <c r="H15" i="7"/>
  <c r="I107" i="1"/>
  <c r="I109" i="1" s="1"/>
  <c r="I115" i="1" s="1"/>
  <c r="I130" i="4"/>
  <c r="H99" i="4"/>
  <c r="H101" i="4"/>
  <c r="F26" i="4"/>
  <c r="F27" i="4" s="1"/>
  <c r="H17" i="7"/>
  <c r="I12" i="27"/>
  <c r="H123" i="4"/>
  <c r="H121" i="4"/>
  <c r="F93" i="4"/>
  <c r="F94" i="4" s="1"/>
  <c r="G80" i="4"/>
  <c r="G79" i="4" s="1"/>
  <c r="G77" i="4"/>
  <c r="G25" i="4"/>
  <c r="G19" i="4"/>
  <c r="G125" i="4"/>
  <c r="G124" i="4" s="1"/>
  <c r="G122" i="4"/>
  <c r="I98" i="1"/>
  <c r="I100" i="1" s="1"/>
  <c r="I106" i="1" s="1"/>
  <c r="I119" i="4"/>
  <c r="I29" i="4"/>
  <c r="I25" i="1"/>
  <c r="I27" i="1" s="1"/>
  <c r="I33" i="1" s="1"/>
  <c r="I110" i="4"/>
  <c r="I112" i="4"/>
  <c r="G55" i="4"/>
  <c r="G58" i="4"/>
  <c r="G57" i="4" s="1"/>
  <c r="I52" i="1"/>
  <c r="I54" i="1" s="1"/>
  <c r="I60" i="1" s="1"/>
  <c r="I63" i="4"/>
  <c r="G137" i="4"/>
  <c r="G131" i="4"/>
  <c r="H13" i="7"/>
  <c r="I8" i="27"/>
  <c r="G91" i="4"/>
  <c r="G90" i="4" s="1"/>
  <c r="G88" i="4"/>
  <c r="I74" i="4"/>
  <c r="I62" i="1"/>
  <c r="I64" i="1" s="1"/>
  <c r="I70" i="1" s="1"/>
  <c r="I15" i="27"/>
  <c r="H20" i="7"/>
  <c r="H81" i="1"/>
  <c r="H84" i="1"/>
  <c r="H83" i="1" s="1"/>
  <c r="H85" i="1"/>
  <c r="H12" i="7"/>
  <c r="I7" i="27"/>
  <c r="H108" i="1"/>
  <c r="H111" i="1"/>
  <c r="H110" i="1" s="1"/>
  <c r="H112" i="1"/>
  <c r="G58" i="1"/>
  <c r="G59" i="1" s="1"/>
  <c r="H103" i="1"/>
  <c r="H102" i="1"/>
  <c r="H101" i="1" s="1"/>
  <c r="H99" i="1"/>
  <c r="F37" i="4"/>
  <c r="F38" i="4" s="1"/>
  <c r="H33" i="4"/>
  <c r="H31" i="4"/>
  <c r="G75" i="4"/>
  <c r="G81" i="4"/>
  <c r="G120" i="4"/>
  <c r="G126" i="4"/>
  <c r="G41" i="4"/>
  <c r="G47" i="4"/>
  <c r="I14" i="27"/>
  <c r="H19" i="7"/>
  <c r="H44" i="1"/>
  <c r="H48" i="1"/>
  <c r="H47" i="1"/>
  <c r="H46" i="1" s="1"/>
  <c r="I85" i="4"/>
  <c r="I71" i="1"/>
  <c r="I73" i="1" s="1"/>
  <c r="I79" i="1" s="1"/>
  <c r="I90" i="1"/>
  <c r="I94" i="1"/>
  <c r="I93" i="1"/>
  <c r="I92" i="1" s="1"/>
  <c r="F127" i="4"/>
  <c r="F128" i="4" s="1"/>
  <c r="G32" i="4"/>
  <c r="G35" i="4"/>
  <c r="G34" i="4" s="1"/>
  <c r="H66" i="1"/>
  <c r="H65" i="1" s="1"/>
  <c r="H63" i="1"/>
  <c r="H67" i="1"/>
  <c r="H21" i="1"/>
  <c r="H20" i="1"/>
  <c r="H19" i="1" s="1"/>
  <c r="H17" i="1"/>
  <c r="G86" i="4"/>
  <c r="G92" i="4"/>
  <c r="I18" i="4"/>
  <c r="I16" i="1"/>
  <c r="I18" i="1" s="1"/>
  <c r="I24" i="1" s="1"/>
  <c r="G64" i="4"/>
  <c r="G70" i="4"/>
  <c r="G13" i="4"/>
  <c r="G12" i="4" s="1"/>
  <c r="G10" i="4"/>
  <c r="G116" i="4"/>
  <c r="G117" i="4" s="1"/>
  <c r="I40" i="4"/>
  <c r="I34" i="1"/>
  <c r="I36" i="1" s="1"/>
  <c r="I42" i="1" s="1"/>
  <c r="H132" i="4"/>
  <c r="H134" i="4"/>
  <c r="G98" i="4"/>
  <c r="G104" i="4"/>
  <c r="H76" i="1"/>
  <c r="H72" i="1"/>
  <c r="H75" i="1"/>
  <c r="H74" i="1" s="1"/>
  <c r="H12" i="1"/>
  <c r="H8" i="1"/>
  <c r="H11" i="1"/>
  <c r="H10" i="1" s="1"/>
  <c r="H65" i="4"/>
  <c r="H67" i="4"/>
  <c r="G43" i="4"/>
  <c r="G46" i="4"/>
  <c r="G45" i="4" s="1"/>
  <c r="H54" i="4"/>
  <c r="H56" i="4"/>
  <c r="H16" i="7"/>
  <c r="I11" i="27"/>
  <c r="H9" i="7"/>
  <c r="I4" i="27"/>
  <c r="G36" i="4"/>
  <c r="G30" i="4"/>
  <c r="H76" i="4"/>
  <c r="H78" i="4"/>
  <c r="H22" i="4"/>
  <c r="H20" i="4"/>
  <c r="G13" i="1"/>
  <c r="G14" i="1" s="1"/>
  <c r="H109" i="4"/>
  <c r="H115" i="4"/>
  <c r="I18" i="7"/>
  <c r="J13" i="27"/>
  <c r="H39" i="1"/>
  <c r="H35" i="1"/>
  <c r="H38" i="1"/>
  <c r="H37" i="1" s="1"/>
  <c r="I5" i="27"/>
  <c r="H10" i="7"/>
  <c r="G66" i="4"/>
  <c r="G69" i="4"/>
  <c r="G68" i="4" s="1"/>
  <c r="G14" i="4"/>
  <c r="G8" i="4"/>
  <c r="G77" i="1"/>
  <c r="G78" i="1" s="1"/>
  <c r="I80" i="1"/>
  <c r="I82" i="1" s="1"/>
  <c r="I88" i="1" s="1"/>
  <c r="I97" i="4"/>
  <c r="F138" i="4"/>
  <c r="F139" i="4" s="1"/>
  <c r="G103" i="4"/>
  <c r="G102" i="4" s="1"/>
  <c r="G100" i="4"/>
  <c r="H87" i="4"/>
  <c r="H89" i="4"/>
  <c r="G24" i="4"/>
  <c r="G23" i="4" s="1"/>
  <c r="G21" i="4"/>
  <c r="H9" i="4"/>
  <c r="H11" i="4"/>
  <c r="H56" i="1"/>
  <c r="H55" i="1" s="1"/>
  <c r="H57" i="1"/>
  <c r="H53" i="1"/>
  <c r="I6" i="27"/>
  <c r="H11" i="7"/>
  <c r="I7" i="4"/>
  <c r="I7" i="1"/>
  <c r="I9" i="1" s="1"/>
  <c r="I15" i="1" s="1"/>
  <c r="G59" i="4"/>
  <c r="G53" i="4"/>
  <c r="I9" i="27"/>
  <c r="H14" i="7"/>
  <c r="G133" i="4"/>
  <c r="G136" i="4"/>
  <c r="G135" i="4" s="1"/>
  <c r="H39" i="4" l="1"/>
  <c r="H107" i="4"/>
  <c r="H28" i="4"/>
  <c r="H129" i="4"/>
  <c r="H17" i="4"/>
  <c r="H84" i="4"/>
  <c r="H62" i="4"/>
  <c r="H73" i="4"/>
  <c r="I118" i="4"/>
  <c r="H50" i="4"/>
  <c r="H30" i="1"/>
  <c r="H33" i="1"/>
  <c r="H95" i="4"/>
  <c r="H140" i="4"/>
  <c r="F60" i="4"/>
  <c r="F61" i="4" s="1"/>
  <c r="G104" i="1"/>
  <c r="G105" i="1" s="1"/>
  <c r="F48" i="4"/>
  <c r="F49" i="4" s="1"/>
  <c r="H29" i="1"/>
  <c r="H28" i="1" s="1"/>
  <c r="H26" i="1"/>
  <c r="H40" i="1"/>
  <c r="H41" i="1" s="1"/>
  <c r="H49" i="1"/>
  <c r="H50" i="1" s="1"/>
  <c r="G127" i="4"/>
  <c r="G128" i="4" s="1"/>
  <c r="H86" i="4"/>
  <c r="H92" i="4"/>
  <c r="I99" i="4"/>
  <c r="I101" i="4"/>
  <c r="J18" i="4"/>
  <c r="J16" i="1"/>
  <c r="J18" i="1" s="1"/>
  <c r="J24" i="1" s="1"/>
  <c r="H53" i="4"/>
  <c r="H59" i="4"/>
  <c r="I30" i="1"/>
  <c r="I29" i="1"/>
  <c r="I28" i="1" s="1"/>
  <c r="I26" i="1"/>
  <c r="H126" i="4"/>
  <c r="H120" i="4"/>
  <c r="I111" i="1"/>
  <c r="I110" i="1" s="1"/>
  <c r="I108" i="1"/>
  <c r="I112" i="1"/>
  <c r="H47" i="4"/>
  <c r="H41" i="4"/>
  <c r="J5" i="27"/>
  <c r="I10" i="7"/>
  <c r="H24" i="4"/>
  <c r="H23" i="4" s="1"/>
  <c r="H21" i="4"/>
  <c r="I16" i="7"/>
  <c r="J11" i="27"/>
  <c r="H131" i="4"/>
  <c r="H137" i="4"/>
  <c r="H68" i="1"/>
  <c r="H69" i="1" s="1"/>
  <c r="J119" i="4"/>
  <c r="J98" i="1"/>
  <c r="J100" i="1" s="1"/>
  <c r="J106" i="1" s="1"/>
  <c r="G48" i="4"/>
  <c r="G49" i="4" s="1"/>
  <c r="H35" i="4"/>
  <c r="H34" i="4" s="1"/>
  <c r="H32" i="4"/>
  <c r="J34" i="1"/>
  <c r="J36" i="1" s="1"/>
  <c r="J42" i="1" s="1"/>
  <c r="J40" i="4"/>
  <c r="I67" i="1"/>
  <c r="I63" i="1"/>
  <c r="I66" i="1"/>
  <c r="I65" i="1" s="1"/>
  <c r="I33" i="4"/>
  <c r="I31" i="4"/>
  <c r="H103" i="4"/>
  <c r="H102" i="4" s="1"/>
  <c r="H100" i="4"/>
  <c r="I47" i="1"/>
  <c r="I46" i="1" s="1"/>
  <c r="I48" i="1"/>
  <c r="I44" i="1"/>
  <c r="J52" i="1"/>
  <c r="J54" i="1" s="1"/>
  <c r="J60" i="1" s="1"/>
  <c r="J63" i="4"/>
  <c r="I11" i="7"/>
  <c r="J6" i="27"/>
  <c r="I14" i="7"/>
  <c r="J9" i="27"/>
  <c r="I12" i="1"/>
  <c r="I8" i="1"/>
  <c r="I11" i="1"/>
  <c r="I10" i="1" s="1"/>
  <c r="H58" i="1"/>
  <c r="H59" i="1" s="1"/>
  <c r="H10" i="4"/>
  <c r="H13" i="4"/>
  <c r="H12" i="4" s="1"/>
  <c r="H91" i="4"/>
  <c r="H90" i="4" s="1"/>
  <c r="H88" i="4"/>
  <c r="G15" i="4"/>
  <c r="G16" i="4" s="1"/>
  <c r="K108" i="4"/>
  <c r="K89" i="1"/>
  <c r="K91" i="1" s="1"/>
  <c r="K97" i="1" s="1"/>
  <c r="H75" i="4"/>
  <c r="H81" i="4"/>
  <c r="I9" i="7"/>
  <c r="J4" i="27"/>
  <c r="H55" i="4"/>
  <c r="H58" i="4"/>
  <c r="H57" i="4" s="1"/>
  <c r="H69" i="4"/>
  <c r="H68" i="4" s="1"/>
  <c r="H66" i="4"/>
  <c r="H13" i="1"/>
  <c r="H14" i="1" s="1"/>
  <c r="H77" i="1"/>
  <c r="H78" i="1" s="1"/>
  <c r="G105" i="4"/>
  <c r="G106" i="4" s="1"/>
  <c r="I42" i="4"/>
  <c r="I44" i="4"/>
  <c r="I20" i="4"/>
  <c r="I22" i="4"/>
  <c r="H22" i="1"/>
  <c r="H23" i="1" s="1"/>
  <c r="I75" i="1"/>
  <c r="I74" i="1" s="1"/>
  <c r="I72" i="1"/>
  <c r="I76" i="1"/>
  <c r="H104" i="1"/>
  <c r="H105" i="1" s="1"/>
  <c r="J130" i="4"/>
  <c r="J107" i="1"/>
  <c r="J109" i="1" s="1"/>
  <c r="J115" i="1" s="1"/>
  <c r="G138" i="4"/>
  <c r="G139" i="4" s="1"/>
  <c r="I56" i="1"/>
  <c r="I55" i="1" s="1"/>
  <c r="I53" i="1"/>
  <c r="I57" i="1"/>
  <c r="I115" i="4"/>
  <c r="I109" i="4"/>
  <c r="I102" i="1"/>
  <c r="I101" i="1" s="1"/>
  <c r="I103" i="1"/>
  <c r="I99" i="1"/>
  <c r="G26" i="4"/>
  <c r="G27" i="4" s="1"/>
  <c r="J97" i="4"/>
  <c r="J80" i="1"/>
  <c r="J82" i="1" s="1"/>
  <c r="J88" i="1" s="1"/>
  <c r="I132" i="4"/>
  <c r="I134" i="4"/>
  <c r="H46" i="4"/>
  <c r="H45" i="4" s="1"/>
  <c r="H43" i="4"/>
  <c r="I9" i="4"/>
  <c r="I11" i="4"/>
  <c r="H8" i="4"/>
  <c r="H14" i="4"/>
  <c r="H25" i="4"/>
  <c r="H19" i="4"/>
  <c r="J7" i="4"/>
  <c r="J7" i="1"/>
  <c r="J9" i="1" s="1"/>
  <c r="J15" i="1" s="1"/>
  <c r="H64" i="4"/>
  <c r="H70" i="4"/>
  <c r="H136" i="4"/>
  <c r="H135" i="4" s="1"/>
  <c r="H133" i="4"/>
  <c r="I87" i="4"/>
  <c r="I89" i="4"/>
  <c r="H30" i="4"/>
  <c r="H36" i="4"/>
  <c r="J7" i="27"/>
  <c r="I12" i="7"/>
  <c r="I20" i="7"/>
  <c r="J15" i="27"/>
  <c r="G60" i="4"/>
  <c r="G61" i="4" s="1"/>
  <c r="J29" i="4"/>
  <c r="J25" i="1"/>
  <c r="J27" i="1" s="1"/>
  <c r="J33" i="1" s="1"/>
  <c r="I81" i="1"/>
  <c r="I84" i="1"/>
  <c r="I83" i="1" s="1"/>
  <c r="I85" i="1"/>
  <c r="G37" i="4"/>
  <c r="G38" i="4" s="1"/>
  <c r="G71" i="4"/>
  <c r="G72" i="4" s="1"/>
  <c r="I13" i="7"/>
  <c r="J8" i="27"/>
  <c r="H122" i="4"/>
  <c r="H125" i="4"/>
  <c r="H124" i="4" s="1"/>
  <c r="J74" i="4"/>
  <c r="J62" i="1"/>
  <c r="J64" i="1" s="1"/>
  <c r="J70" i="1" s="1"/>
  <c r="J112" i="4"/>
  <c r="J110" i="4"/>
  <c r="K13" i="27"/>
  <c r="K18" i="7" s="1"/>
  <c r="J18" i="7"/>
  <c r="H116" i="4"/>
  <c r="H117" i="4" s="1"/>
  <c r="H77" i="4"/>
  <c r="H80" i="4"/>
  <c r="H79" i="4" s="1"/>
  <c r="J85" i="4"/>
  <c r="J71" i="1"/>
  <c r="J73" i="1" s="1"/>
  <c r="J79" i="1" s="1"/>
  <c r="I39" i="1"/>
  <c r="I35" i="1"/>
  <c r="I38" i="1"/>
  <c r="I37" i="1" s="1"/>
  <c r="I17" i="1"/>
  <c r="I21" i="1"/>
  <c r="I20" i="1"/>
  <c r="I19" i="1" s="1"/>
  <c r="G93" i="4"/>
  <c r="G94" i="4" s="1"/>
  <c r="I95" i="1"/>
  <c r="I96" i="1" s="1"/>
  <c r="I19" i="7"/>
  <c r="J14" i="27"/>
  <c r="G82" i="4"/>
  <c r="G83" i="4" s="1"/>
  <c r="H113" i="1"/>
  <c r="H114" i="1" s="1"/>
  <c r="H86" i="1"/>
  <c r="H87" i="1" s="1"/>
  <c r="I76" i="4"/>
  <c r="I78" i="4"/>
  <c r="J43" i="1"/>
  <c r="J45" i="1" s="1"/>
  <c r="J51" i="1" s="1"/>
  <c r="J52" i="4"/>
  <c r="I67" i="4"/>
  <c r="I65" i="4"/>
  <c r="I114" i="4"/>
  <c r="I113" i="4" s="1"/>
  <c r="I111" i="4"/>
  <c r="I123" i="4"/>
  <c r="I121" i="4"/>
  <c r="J12" i="27"/>
  <c r="I17" i="7"/>
  <c r="H98" i="4"/>
  <c r="H104" i="4"/>
  <c r="J10" i="27"/>
  <c r="I15" i="7"/>
  <c r="J90" i="1"/>
  <c r="J93" i="1"/>
  <c r="J92" i="1" s="1"/>
  <c r="J94" i="1"/>
  <c r="I54" i="4"/>
  <c r="I56" i="4"/>
  <c r="J118" i="4" l="1"/>
  <c r="I39" i="4"/>
  <c r="I84" i="4"/>
  <c r="I140" i="4"/>
  <c r="I95" i="4"/>
  <c r="I17" i="4"/>
  <c r="I62" i="4"/>
  <c r="I28" i="4"/>
  <c r="I107" i="4"/>
  <c r="I129" i="4"/>
  <c r="I73" i="4"/>
  <c r="I50" i="4"/>
  <c r="H31" i="1"/>
  <c r="H32" i="1" s="1"/>
  <c r="H37" i="4"/>
  <c r="H38" i="4" s="1"/>
  <c r="I86" i="1"/>
  <c r="I87" i="1" s="1"/>
  <c r="H71" i="4"/>
  <c r="H72" i="4" s="1"/>
  <c r="H15" i="4"/>
  <c r="H16" i="4" s="1"/>
  <c r="I77" i="1"/>
  <c r="I78" i="1" s="1"/>
  <c r="I31" i="1"/>
  <c r="I32" i="1" s="1"/>
  <c r="K97" i="4"/>
  <c r="K80" i="1"/>
  <c r="K82" i="1" s="1"/>
  <c r="K88" i="1" s="1"/>
  <c r="I125" i="4"/>
  <c r="I124" i="4" s="1"/>
  <c r="I122" i="4"/>
  <c r="I75" i="4"/>
  <c r="I81" i="4"/>
  <c r="J19" i="7"/>
  <c r="K14" i="27"/>
  <c r="K19" i="7" s="1"/>
  <c r="J76" i="1"/>
  <c r="J75" i="1"/>
  <c r="J74" i="1" s="1"/>
  <c r="J72" i="1"/>
  <c r="J111" i="4"/>
  <c r="J114" i="4"/>
  <c r="J113" i="4" s="1"/>
  <c r="I59" i="4"/>
  <c r="I53" i="4"/>
  <c r="J95" i="1"/>
  <c r="J96" i="1" s="1"/>
  <c r="J44" i="1"/>
  <c r="J47" i="1"/>
  <c r="J46" i="1" s="1"/>
  <c r="J48" i="1"/>
  <c r="M89" i="1"/>
  <c r="M91" i="1" s="1"/>
  <c r="M97" i="1" s="1"/>
  <c r="M108" i="4"/>
  <c r="J78" i="4"/>
  <c r="J76" i="4"/>
  <c r="K43" i="1"/>
  <c r="K45" i="1" s="1"/>
  <c r="K51" i="1" s="1"/>
  <c r="K52" i="4"/>
  <c r="J33" i="4"/>
  <c r="J31" i="4"/>
  <c r="K40" i="4"/>
  <c r="K34" i="1"/>
  <c r="K36" i="1" s="1"/>
  <c r="K42" i="1" s="1"/>
  <c r="J12" i="1"/>
  <c r="J11" i="1"/>
  <c r="J10" i="1" s="1"/>
  <c r="J8" i="1"/>
  <c r="I13" i="4"/>
  <c r="I12" i="4" s="1"/>
  <c r="I10" i="4"/>
  <c r="I136" i="4"/>
  <c r="I135" i="4" s="1"/>
  <c r="I133" i="4"/>
  <c r="I47" i="4"/>
  <c r="I41" i="4"/>
  <c r="K4" i="27"/>
  <c r="K9" i="7" s="1"/>
  <c r="J9" i="7"/>
  <c r="H82" i="4"/>
  <c r="H83" i="4" s="1"/>
  <c r="K25" i="1"/>
  <c r="K27" i="1" s="1"/>
  <c r="K33" i="1" s="1"/>
  <c r="K29" i="4"/>
  <c r="I49" i="1"/>
  <c r="I50" i="1" s="1"/>
  <c r="J35" i="1"/>
  <c r="J38" i="1"/>
  <c r="J37" i="1" s="1"/>
  <c r="J39" i="1"/>
  <c r="J99" i="1"/>
  <c r="J103" i="1"/>
  <c r="J102" i="1"/>
  <c r="J101" i="1" s="1"/>
  <c r="H138" i="4"/>
  <c r="H139" i="4" s="1"/>
  <c r="H60" i="4"/>
  <c r="H61" i="4" s="1"/>
  <c r="I104" i="4"/>
  <c r="I98" i="4"/>
  <c r="K62" i="1"/>
  <c r="K64" i="1" s="1"/>
  <c r="K70" i="1" s="1"/>
  <c r="K74" i="4"/>
  <c r="H105" i="4"/>
  <c r="H106" i="4" s="1"/>
  <c r="I126" i="4"/>
  <c r="I120" i="4"/>
  <c r="I70" i="4"/>
  <c r="I64" i="4"/>
  <c r="I77" i="4"/>
  <c r="I80" i="4"/>
  <c r="I79" i="4" s="1"/>
  <c r="I22" i="1"/>
  <c r="I23" i="1" s="1"/>
  <c r="J109" i="4"/>
  <c r="J115" i="4"/>
  <c r="J12" i="7"/>
  <c r="K7" i="27"/>
  <c r="K12" i="7" s="1"/>
  <c r="I91" i="4"/>
  <c r="I90" i="4" s="1"/>
  <c r="I88" i="4"/>
  <c r="J9" i="4"/>
  <c r="J11" i="4"/>
  <c r="I14" i="4"/>
  <c r="I8" i="4"/>
  <c r="I137" i="4"/>
  <c r="I131" i="4"/>
  <c r="I104" i="1"/>
  <c r="I105" i="1" s="1"/>
  <c r="I116" i="4"/>
  <c r="I117" i="4" s="1"/>
  <c r="I58" i="1"/>
  <c r="I59" i="1" s="1"/>
  <c r="J111" i="1"/>
  <c r="J110" i="1" s="1"/>
  <c r="J108" i="1"/>
  <c r="J112" i="1"/>
  <c r="I21" i="4"/>
  <c r="I24" i="4"/>
  <c r="I23" i="4" s="1"/>
  <c r="K7" i="4"/>
  <c r="K7" i="1"/>
  <c r="K9" i="1" s="1"/>
  <c r="K15" i="1" s="1"/>
  <c r="K94" i="1"/>
  <c r="K90" i="1"/>
  <c r="K93" i="1"/>
  <c r="K92" i="1" s="1"/>
  <c r="J14" i="7"/>
  <c r="K9" i="27"/>
  <c r="K14" i="7" s="1"/>
  <c r="J67" i="4"/>
  <c r="J65" i="4"/>
  <c r="I36" i="4"/>
  <c r="I30" i="4"/>
  <c r="I68" i="1"/>
  <c r="I69" i="1" s="1"/>
  <c r="J123" i="4"/>
  <c r="J121" i="4"/>
  <c r="H48" i="4"/>
  <c r="H49" i="4" s="1"/>
  <c r="I113" i="1"/>
  <c r="I114" i="1" s="1"/>
  <c r="J17" i="1"/>
  <c r="J20" i="1"/>
  <c r="J19" i="1" s="1"/>
  <c r="J21" i="1"/>
  <c r="K10" i="27"/>
  <c r="K15" i="7" s="1"/>
  <c r="J15" i="7"/>
  <c r="I66" i="4"/>
  <c r="I69" i="4"/>
  <c r="I68" i="4" s="1"/>
  <c r="J20" i="7"/>
  <c r="K15" i="27"/>
  <c r="K20" i="7" s="1"/>
  <c r="I92" i="4"/>
  <c r="I86" i="4"/>
  <c r="J85" i="1"/>
  <c r="J81" i="1"/>
  <c r="J84" i="1"/>
  <c r="J83" i="1" s="1"/>
  <c r="J132" i="4"/>
  <c r="J134" i="4"/>
  <c r="I25" i="4"/>
  <c r="I19" i="4"/>
  <c r="K112" i="4"/>
  <c r="K110" i="4"/>
  <c r="K52" i="1"/>
  <c r="K54" i="1" s="1"/>
  <c r="K60" i="1" s="1"/>
  <c r="K63" i="4"/>
  <c r="J53" i="1"/>
  <c r="J57" i="1"/>
  <c r="J56" i="1"/>
  <c r="J55" i="1" s="1"/>
  <c r="I35" i="4"/>
  <c r="I34" i="4" s="1"/>
  <c r="I32" i="4"/>
  <c r="K11" i="27"/>
  <c r="K16" i="7" s="1"/>
  <c r="J16" i="7"/>
  <c r="K16" i="1"/>
  <c r="K18" i="1" s="1"/>
  <c r="K24" i="1" s="1"/>
  <c r="K18" i="4"/>
  <c r="J22" i="4"/>
  <c r="J20" i="4"/>
  <c r="I58" i="4"/>
  <c r="I57" i="4" s="1"/>
  <c r="I55" i="4"/>
  <c r="J17" i="7"/>
  <c r="K12" i="27"/>
  <c r="K17" i="7" s="1"/>
  <c r="J56" i="4"/>
  <c r="J54" i="4"/>
  <c r="K98" i="1"/>
  <c r="K100" i="1" s="1"/>
  <c r="K106" i="1" s="1"/>
  <c r="K119" i="4"/>
  <c r="I40" i="1"/>
  <c r="I41" i="1" s="1"/>
  <c r="J87" i="4"/>
  <c r="J89" i="4"/>
  <c r="L108" i="4"/>
  <c r="L89" i="1"/>
  <c r="L91" i="1" s="1"/>
  <c r="L97" i="1" s="1"/>
  <c r="J66" i="1"/>
  <c r="J65" i="1" s="1"/>
  <c r="J67" i="1"/>
  <c r="J63" i="1"/>
  <c r="K8" i="27"/>
  <c r="K13" i="7" s="1"/>
  <c r="J13" i="7"/>
  <c r="J26" i="1"/>
  <c r="J30" i="1"/>
  <c r="J29" i="1"/>
  <c r="J28" i="1" s="1"/>
  <c r="K130" i="4"/>
  <c r="K107" i="1"/>
  <c r="K109" i="1" s="1"/>
  <c r="K115" i="1" s="1"/>
  <c r="H26" i="4"/>
  <c r="H27" i="4" s="1"/>
  <c r="J101" i="4"/>
  <c r="J99" i="4"/>
  <c r="I43" i="4"/>
  <c r="I46" i="4"/>
  <c r="I45" i="4" s="1"/>
  <c r="I13" i="1"/>
  <c r="I14" i="1" s="1"/>
  <c r="K6" i="27"/>
  <c r="K11" i="7" s="1"/>
  <c r="J11" i="7"/>
  <c r="J42" i="4"/>
  <c r="J44" i="4"/>
  <c r="K71" i="1"/>
  <c r="K73" i="1" s="1"/>
  <c r="K79" i="1" s="1"/>
  <c r="K85" i="4"/>
  <c r="K5" i="27"/>
  <c r="K10" i="7" s="1"/>
  <c r="J10" i="7"/>
  <c r="H127" i="4"/>
  <c r="H128" i="4" s="1"/>
  <c r="I100" i="4"/>
  <c r="I103" i="4"/>
  <c r="I102" i="4" s="1"/>
  <c r="H93" i="4"/>
  <c r="H94" i="4" s="1"/>
  <c r="J107" i="4" l="1"/>
  <c r="J62" i="4"/>
  <c r="J39" i="4"/>
  <c r="J84" i="4"/>
  <c r="J129" i="4"/>
  <c r="K118" i="4"/>
  <c r="J95" i="4"/>
  <c r="J140" i="4"/>
  <c r="J17" i="4"/>
  <c r="J50" i="4"/>
  <c r="J28" i="4"/>
  <c r="J73" i="4"/>
  <c r="J86" i="1"/>
  <c r="J87" i="1" s="1"/>
  <c r="K95" i="1"/>
  <c r="K96" i="1" s="1"/>
  <c r="I127" i="4"/>
  <c r="I128" i="4" s="1"/>
  <c r="J116" i="4"/>
  <c r="J117" i="4" s="1"/>
  <c r="J58" i="1"/>
  <c r="J59" i="1" s="1"/>
  <c r="J68" i="1"/>
  <c r="J69" i="1" s="1"/>
  <c r="I26" i="4"/>
  <c r="I27" i="4" s="1"/>
  <c r="K87" i="4"/>
  <c r="K89" i="4"/>
  <c r="K111" i="1"/>
  <c r="K110" i="1" s="1"/>
  <c r="K108" i="1"/>
  <c r="K112" i="1"/>
  <c r="L93" i="1"/>
  <c r="L92" i="1" s="1"/>
  <c r="L90" i="1"/>
  <c r="L94" i="1"/>
  <c r="K21" i="1"/>
  <c r="K20" i="1"/>
  <c r="K19" i="1" s="1"/>
  <c r="K17" i="1"/>
  <c r="J136" i="4"/>
  <c r="J135" i="4" s="1"/>
  <c r="J133" i="4"/>
  <c r="J66" i="4"/>
  <c r="J69" i="4"/>
  <c r="J68" i="4" s="1"/>
  <c r="K11" i="4"/>
  <c r="K9" i="4"/>
  <c r="M40" i="4"/>
  <c r="M34" i="1"/>
  <c r="M36" i="1" s="1"/>
  <c r="M42" i="1" s="1"/>
  <c r="K66" i="1"/>
  <c r="K65" i="1" s="1"/>
  <c r="K67" i="1"/>
  <c r="K63" i="1"/>
  <c r="K47" i="1"/>
  <c r="K46" i="1" s="1"/>
  <c r="K44" i="1"/>
  <c r="K48" i="1"/>
  <c r="K72" i="1"/>
  <c r="K76" i="1"/>
  <c r="K75" i="1"/>
  <c r="K74" i="1" s="1"/>
  <c r="K132" i="4"/>
  <c r="K134" i="4"/>
  <c r="L62" i="1"/>
  <c r="L64" i="1" s="1"/>
  <c r="L70" i="1" s="1"/>
  <c r="L74" i="4"/>
  <c r="J126" i="4"/>
  <c r="J120" i="4"/>
  <c r="M52" i="1"/>
  <c r="M54" i="1" s="1"/>
  <c r="M60" i="1" s="1"/>
  <c r="M63" i="4"/>
  <c r="J113" i="1"/>
  <c r="J114" i="1" s="1"/>
  <c r="J8" i="4"/>
  <c r="J14" i="4"/>
  <c r="I71" i="4"/>
  <c r="I72" i="4" s="1"/>
  <c r="J104" i="1"/>
  <c r="J105" i="1" s="1"/>
  <c r="I48" i="4"/>
  <c r="I49" i="4" s="1"/>
  <c r="J36" i="4"/>
  <c r="J30" i="4"/>
  <c r="J75" i="4"/>
  <c r="J81" i="4"/>
  <c r="L16" i="1"/>
  <c r="L18" i="1" s="1"/>
  <c r="L24" i="1" s="1"/>
  <c r="L18" i="4"/>
  <c r="J43" i="4"/>
  <c r="J46" i="4"/>
  <c r="J45" i="4" s="1"/>
  <c r="J100" i="4"/>
  <c r="J103" i="4"/>
  <c r="J102" i="4" s="1"/>
  <c r="L52" i="4"/>
  <c r="L43" i="1"/>
  <c r="L45" i="1" s="1"/>
  <c r="L51" i="1" s="1"/>
  <c r="J88" i="4"/>
  <c r="J91" i="4"/>
  <c r="J90" i="4" s="1"/>
  <c r="K102" i="1"/>
  <c r="K101" i="1" s="1"/>
  <c r="K99" i="1"/>
  <c r="K103" i="1"/>
  <c r="L97" i="4"/>
  <c r="L80" i="1"/>
  <c r="L82" i="1" s="1"/>
  <c r="L88" i="1" s="1"/>
  <c r="J21" i="4"/>
  <c r="J24" i="4"/>
  <c r="J23" i="4" s="1"/>
  <c r="M85" i="4"/>
  <c r="M71" i="1"/>
  <c r="M73" i="1" s="1"/>
  <c r="M79" i="1" s="1"/>
  <c r="K53" i="1"/>
  <c r="K57" i="1"/>
  <c r="K56" i="1"/>
  <c r="K55" i="1" s="1"/>
  <c r="I93" i="4"/>
  <c r="I94" i="4" s="1"/>
  <c r="L107" i="1"/>
  <c r="L109" i="1" s="1"/>
  <c r="L115" i="1" s="1"/>
  <c r="L130" i="4"/>
  <c r="M74" i="4"/>
  <c r="M62" i="1"/>
  <c r="M64" i="1" s="1"/>
  <c r="M70" i="1" s="1"/>
  <c r="J125" i="4"/>
  <c r="J124" i="4" s="1"/>
  <c r="J122" i="4"/>
  <c r="L63" i="4"/>
  <c r="L52" i="1"/>
  <c r="L54" i="1" s="1"/>
  <c r="L60" i="1" s="1"/>
  <c r="I138" i="4"/>
  <c r="I139" i="4" s="1"/>
  <c r="I15" i="4"/>
  <c r="I16" i="4" s="1"/>
  <c r="I105" i="4"/>
  <c r="I106" i="4" s="1"/>
  <c r="L7" i="1"/>
  <c r="L9" i="1" s="1"/>
  <c r="L15" i="1" s="1"/>
  <c r="L7" i="4"/>
  <c r="J32" i="4"/>
  <c r="J35" i="4"/>
  <c r="J34" i="4" s="1"/>
  <c r="J77" i="4"/>
  <c r="J80" i="4"/>
  <c r="J79" i="4" s="1"/>
  <c r="I60" i="4"/>
  <c r="I61" i="4" s="1"/>
  <c r="I82" i="4"/>
  <c r="I83" i="4" s="1"/>
  <c r="K81" i="1"/>
  <c r="K85" i="1"/>
  <c r="K84" i="1"/>
  <c r="K83" i="1" s="1"/>
  <c r="L25" i="1"/>
  <c r="L27" i="1" s="1"/>
  <c r="L33" i="1" s="1"/>
  <c r="L29" i="4"/>
  <c r="J58" i="4"/>
  <c r="J57" i="4" s="1"/>
  <c r="J55" i="4"/>
  <c r="K111" i="4"/>
  <c r="K114" i="4"/>
  <c r="K113" i="4" s="1"/>
  <c r="J10" i="4"/>
  <c r="J13" i="4"/>
  <c r="J12" i="4" s="1"/>
  <c r="K30" i="1"/>
  <c r="K26" i="1"/>
  <c r="K29" i="1"/>
  <c r="K28" i="1" s="1"/>
  <c r="K42" i="4"/>
  <c r="K44" i="4"/>
  <c r="M94" i="1"/>
  <c r="M93" i="1"/>
  <c r="M92" i="1" s="1"/>
  <c r="M90" i="1"/>
  <c r="L98" i="1"/>
  <c r="L100" i="1" s="1"/>
  <c r="L106" i="1" s="1"/>
  <c r="L119" i="4"/>
  <c r="M29" i="4"/>
  <c r="M25" i="1"/>
  <c r="M27" i="1" s="1"/>
  <c r="M33" i="1" s="1"/>
  <c r="J104" i="4"/>
  <c r="J98" i="4"/>
  <c r="J31" i="1"/>
  <c r="J32" i="1" s="1"/>
  <c r="L110" i="4"/>
  <c r="L112" i="4"/>
  <c r="K121" i="4"/>
  <c r="K123" i="4"/>
  <c r="M80" i="1"/>
  <c r="M82" i="1" s="1"/>
  <c r="M88" i="1" s="1"/>
  <c r="M97" i="4"/>
  <c r="J19" i="4"/>
  <c r="J25" i="4"/>
  <c r="L85" i="4"/>
  <c r="L71" i="1"/>
  <c r="L73" i="1" s="1"/>
  <c r="L79" i="1" s="1"/>
  <c r="K67" i="4"/>
  <c r="K65" i="4"/>
  <c r="J137" i="4"/>
  <c r="J131" i="4"/>
  <c r="M107" i="1"/>
  <c r="M109" i="1" s="1"/>
  <c r="M115" i="1" s="1"/>
  <c r="M130" i="4"/>
  <c r="J22" i="1"/>
  <c r="J23" i="1" s="1"/>
  <c r="I37" i="4"/>
  <c r="I38" i="4" s="1"/>
  <c r="L40" i="4"/>
  <c r="L34" i="1"/>
  <c r="L36" i="1" s="1"/>
  <c r="L42" i="1" s="1"/>
  <c r="J40" i="1"/>
  <c r="J41" i="1" s="1"/>
  <c r="M18" i="4"/>
  <c r="M16" i="1"/>
  <c r="M18" i="1" s="1"/>
  <c r="M24" i="1" s="1"/>
  <c r="J47" i="4"/>
  <c r="J41" i="4"/>
  <c r="M52" i="4"/>
  <c r="M43" i="1"/>
  <c r="M45" i="1" s="1"/>
  <c r="M51" i="1" s="1"/>
  <c r="J86" i="4"/>
  <c r="J92" i="4"/>
  <c r="J59" i="4"/>
  <c r="J53" i="4"/>
  <c r="K22" i="4"/>
  <c r="K20" i="4"/>
  <c r="K115" i="4"/>
  <c r="K109" i="4"/>
  <c r="J64" i="4"/>
  <c r="J70" i="4"/>
  <c r="K11" i="1"/>
  <c r="K10" i="1" s="1"/>
  <c r="K12" i="1"/>
  <c r="K8" i="1"/>
  <c r="K78" i="4"/>
  <c r="K76" i="4"/>
  <c r="K33" i="4"/>
  <c r="K31" i="4"/>
  <c r="M7" i="4"/>
  <c r="M7" i="1"/>
  <c r="M9" i="1" s="1"/>
  <c r="M15" i="1" s="1"/>
  <c r="J13" i="1"/>
  <c r="J14" i="1" s="1"/>
  <c r="K35" i="1"/>
  <c r="K38" i="1"/>
  <c r="K37" i="1" s="1"/>
  <c r="K39" i="1"/>
  <c r="K54" i="4"/>
  <c r="K56" i="4"/>
  <c r="M112" i="4"/>
  <c r="M110" i="4"/>
  <c r="J49" i="1"/>
  <c r="J50" i="1" s="1"/>
  <c r="J77" i="1"/>
  <c r="J78" i="1" s="1"/>
  <c r="M98" i="1"/>
  <c r="M100" i="1" s="1"/>
  <c r="M106" i="1" s="1"/>
  <c r="M119" i="4"/>
  <c r="K99" i="4"/>
  <c r="K101" i="4"/>
  <c r="K28" i="4" l="1"/>
  <c r="M118" i="4"/>
  <c r="K84" i="4"/>
  <c r="K107" i="4"/>
  <c r="K62" i="4"/>
  <c r="K129" i="4"/>
  <c r="K140" i="4"/>
  <c r="K17" i="4"/>
  <c r="K95" i="4"/>
  <c r="L118" i="4"/>
  <c r="K50" i="4"/>
  <c r="K39" i="4"/>
  <c r="K73" i="4"/>
  <c r="K40" i="1"/>
  <c r="K41" i="1" s="1"/>
  <c r="K13" i="1"/>
  <c r="K14" i="1" s="1"/>
  <c r="J60" i="4"/>
  <c r="J61" i="4" s="1"/>
  <c r="J48" i="4"/>
  <c r="J49" i="4" s="1"/>
  <c r="J26" i="4"/>
  <c r="J27" i="4" s="1"/>
  <c r="M95" i="1"/>
  <c r="M96" i="1" s="1"/>
  <c r="K68" i="1"/>
  <c r="K69" i="1" s="1"/>
  <c r="K22" i="1"/>
  <c r="K23" i="1" s="1"/>
  <c r="K104" i="4"/>
  <c r="K98" i="4"/>
  <c r="K59" i="4"/>
  <c r="K53" i="4"/>
  <c r="K36" i="4"/>
  <c r="K30" i="4"/>
  <c r="M20" i="4"/>
  <c r="M22" i="4"/>
  <c r="M30" i="1"/>
  <c r="M29" i="1"/>
  <c r="M28" i="1" s="1"/>
  <c r="M26" i="1"/>
  <c r="M103" i="1"/>
  <c r="M99" i="1"/>
  <c r="M102" i="1"/>
  <c r="M101" i="1" s="1"/>
  <c r="M111" i="4"/>
  <c r="M114" i="4"/>
  <c r="M113" i="4" s="1"/>
  <c r="M12" i="1"/>
  <c r="M8" i="1"/>
  <c r="M11" i="1"/>
  <c r="M10" i="1" s="1"/>
  <c r="K81" i="4"/>
  <c r="K75" i="4"/>
  <c r="J71" i="4"/>
  <c r="J72" i="4" s="1"/>
  <c r="K25" i="4"/>
  <c r="K19" i="4"/>
  <c r="M48" i="1"/>
  <c r="M44" i="1"/>
  <c r="M47" i="1"/>
  <c r="M46" i="1" s="1"/>
  <c r="L39" i="1"/>
  <c r="L38" i="1"/>
  <c r="L37" i="1" s="1"/>
  <c r="L35" i="1"/>
  <c r="M132" i="4"/>
  <c r="M134" i="4"/>
  <c r="L87" i="4"/>
  <c r="L89" i="4"/>
  <c r="M101" i="4"/>
  <c r="M99" i="4"/>
  <c r="L114" i="4"/>
  <c r="L113" i="4" s="1"/>
  <c r="L111" i="4"/>
  <c r="L121" i="4"/>
  <c r="L123" i="4"/>
  <c r="L67" i="4"/>
  <c r="L65" i="4"/>
  <c r="M76" i="4"/>
  <c r="M78" i="4"/>
  <c r="M75" i="1"/>
  <c r="M74" i="1" s="1"/>
  <c r="M72" i="1"/>
  <c r="M76" i="1"/>
  <c r="L84" i="1"/>
  <c r="L83" i="1" s="1"/>
  <c r="L85" i="1"/>
  <c r="L81" i="1"/>
  <c r="L47" i="1"/>
  <c r="L46" i="1" s="1"/>
  <c r="L48" i="1"/>
  <c r="L44" i="1"/>
  <c r="J127" i="4"/>
  <c r="J128" i="4" s="1"/>
  <c r="K136" i="4"/>
  <c r="K135" i="4" s="1"/>
  <c r="K133" i="4"/>
  <c r="K77" i="1"/>
  <c r="K78" i="1" s="1"/>
  <c r="K49" i="1"/>
  <c r="K50" i="1" s="1"/>
  <c r="K8" i="4"/>
  <c r="K14" i="4"/>
  <c r="L95" i="1"/>
  <c r="L96" i="1" s="1"/>
  <c r="K113" i="1"/>
  <c r="K114" i="1" s="1"/>
  <c r="K103" i="4"/>
  <c r="K102" i="4" s="1"/>
  <c r="K100" i="4"/>
  <c r="K58" i="4"/>
  <c r="K57" i="4" s="1"/>
  <c r="K55" i="4"/>
  <c r="M11" i="4"/>
  <c r="M9" i="4"/>
  <c r="K77" i="4"/>
  <c r="K80" i="4"/>
  <c r="K79" i="4" s="1"/>
  <c r="K116" i="4"/>
  <c r="K117" i="4" s="1"/>
  <c r="K21" i="4"/>
  <c r="K24" i="4"/>
  <c r="K23" i="4" s="1"/>
  <c r="M56" i="4"/>
  <c r="M54" i="4"/>
  <c r="M17" i="1"/>
  <c r="M20" i="1"/>
  <c r="M19" i="1" s="1"/>
  <c r="M21" i="1"/>
  <c r="L44" i="4"/>
  <c r="L42" i="4"/>
  <c r="M111" i="1"/>
  <c r="M110" i="1" s="1"/>
  <c r="M112" i="1"/>
  <c r="M108" i="1"/>
  <c r="K70" i="4"/>
  <c r="K64" i="4"/>
  <c r="M81" i="1"/>
  <c r="M85" i="1"/>
  <c r="M84" i="1"/>
  <c r="M83" i="1" s="1"/>
  <c r="L109" i="4"/>
  <c r="L115" i="4"/>
  <c r="L102" i="1"/>
  <c r="L101" i="1" s="1"/>
  <c r="L99" i="1"/>
  <c r="L103" i="1"/>
  <c r="K31" i="1"/>
  <c r="K32" i="1" s="1"/>
  <c r="L134" i="4"/>
  <c r="L132" i="4"/>
  <c r="M87" i="4"/>
  <c r="M89" i="4"/>
  <c r="L99" i="4"/>
  <c r="L101" i="4"/>
  <c r="L54" i="4"/>
  <c r="L56" i="4"/>
  <c r="M67" i="4"/>
  <c r="M65" i="4"/>
  <c r="K137" i="4"/>
  <c r="K131" i="4"/>
  <c r="K10" i="4"/>
  <c r="K13" i="4"/>
  <c r="K12" i="4" s="1"/>
  <c r="K69" i="4"/>
  <c r="K68" i="4" s="1"/>
  <c r="K66" i="4"/>
  <c r="K122" i="4"/>
  <c r="K125" i="4"/>
  <c r="K124" i="4" s="1"/>
  <c r="K43" i="4"/>
  <c r="K46" i="4"/>
  <c r="K45" i="4" s="1"/>
  <c r="L33" i="4"/>
  <c r="L31" i="4"/>
  <c r="L9" i="4"/>
  <c r="L11" i="4"/>
  <c r="L112" i="1"/>
  <c r="L108" i="1"/>
  <c r="L111" i="1"/>
  <c r="L110" i="1" s="1"/>
  <c r="L20" i="4"/>
  <c r="L22" i="4"/>
  <c r="J82" i="4"/>
  <c r="J83" i="4" s="1"/>
  <c r="M57" i="1"/>
  <c r="M53" i="1"/>
  <c r="M56" i="1"/>
  <c r="M55" i="1" s="1"/>
  <c r="L78" i="4"/>
  <c r="L76" i="4"/>
  <c r="M35" i="1"/>
  <c r="M39" i="1"/>
  <c r="M38" i="1"/>
  <c r="M37" i="1" s="1"/>
  <c r="K88" i="4"/>
  <c r="K91" i="4"/>
  <c r="K90" i="4" s="1"/>
  <c r="M121" i="4"/>
  <c r="M123" i="4"/>
  <c r="M115" i="4"/>
  <c r="M109" i="4"/>
  <c r="K32" i="4"/>
  <c r="K35" i="4"/>
  <c r="K34" i="4" s="1"/>
  <c r="J93" i="4"/>
  <c r="J94" i="4" s="1"/>
  <c r="J138" i="4"/>
  <c r="J139" i="4" s="1"/>
  <c r="L72" i="1"/>
  <c r="L75" i="1"/>
  <c r="L74" i="1" s="1"/>
  <c r="L76" i="1"/>
  <c r="K120" i="4"/>
  <c r="K126" i="4"/>
  <c r="J105" i="4"/>
  <c r="J106" i="4" s="1"/>
  <c r="M33" i="4"/>
  <c r="M31" i="4"/>
  <c r="K41" i="4"/>
  <c r="K47" i="4"/>
  <c r="L29" i="1"/>
  <c r="L28" i="1" s="1"/>
  <c r="L30" i="1"/>
  <c r="L26" i="1"/>
  <c r="K86" i="1"/>
  <c r="K87" i="1" s="1"/>
  <c r="L11" i="1"/>
  <c r="L10" i="1" s="1"/>
  <c r="L8" i="1"/>
  <c r="L12" i="1"/>
  <c r="L56" i="1"/>
  <c r="L55" i="1" s="1"/>
  <c r="L53" i="1"/>
  <c r="L57" i="1"/>
  <c r="M66" i="1"/>
  <c r="M65" i="1" s="1"/>
  <c r="M63" i="1"/>
  <c r="M67" i="1"/>
  <c r="K58" i="1"/>
  <c r="K59" i="1" s="1"/>
  <c r="K104" i="1"/>
  <c r="K105" i="1" s="1"/>
  <c r="L17" i="1"/>
  <c r="L21" i="1"/>
  <c r="L20" i="1"/>
  <c r="L19" i="1" s="1"/>
  <c r="J37" i="4"/>
  <c r="J38" i="4" s="1"/>
  <c r="J15" i="4"/>
  <c r="J16" i="4" s="1"/>
  <c r="L67" i="1"/>
  <c r="L66" i="1"/>
  <c r="L65" i="1" s="1"/>
  <c r="L63" i="1"/>
  <c r="M42" i="4"/>
  <c r="M44" i="4"/>
  <c r="K92" i="4"/>
  <c r="K86" i="4"/>
  <c r="L39" i="4" l="1"/>
  <c r="M73" i="4"/>
  <c r="L140" i="4"/>
  <c r="L50" i="4"/>
  <c r="M17" i="4"/>
  <c r="M107" i="4"/>
  <c r="L28" i="4"/>
  <c r="L84" i="4"/>
  <c r="L17" i="4"/>
  <c r="L62" i="4"/>
  <c r="M95" i="4"/>
  <c r="M50" i="4"/>
  <c r="M129" i="4"/>
  <c r="L107" i="4"/>
  <c r="M62" i="4"/>
  <c r="M84" i="4"/>
  <c r="L129" i="4"/>
  <c r="M140" i="4"/>
  <c r="M28" i="4"/>
  <c r="M39" i="4"/>
  <c r="L73" i="4"/>
  <c r="L95" i="4"/>
  <c r="M68" i="1"/>
  <c r="M69" i="1" s="1"/>
  <c r="L116" i="4"/>
  <c r="L117" i="4" s="1"/>
  <c r="K93" i="4"/>
  <c r="K94" i="4" s="1"/>
  <c r="K48" i="4"/>
  <c r="K49" i="4" s="1"/>
  <c r="M116" i="4"/>
  <c r="M117" i="4" s="1"/>
  <c r="L113" i="1"/>
  <c r="L114" i="1" s="1"/>
  <c r="K138" i="4"/>
  <c r="K139" i="4" s="1"/>
  <c r="M22" i="1"/>
  <c r="M23" i="1" s="1"/>
  <c r="L49" i="1"/>
  <c r="L50" i="1" s="1"/>
  <c r="M113" i="1"/>
  <c r="M114" i="1" s="1"/>
  <c r="M49" i="1"/>
  <c r="M50" i="1" s="1"/>
  <c r="K60" i="4"/>
  <c r="K61" i="4" s="1"/>
  <c r="M47" i="4"/>
  <c r="M41" i="4"/>
  <c r="L14" i="4"/>
  <c r="L8" i="4"/>
  <c r="L55" i="4"/>
  <c r="L58" i="4"/>
  <c r="L57" i="4" s="1"/>
  <c r="K71" i="4"/>
  <c r="K72" i="4" s="1"/>
  <c r="L46" i="4"/>
  <c r="L45" i="4" s="1"/>
  <c r="L43" i="4"/>
  <c r="M14" i="4"/>
  <c r="M8" i="4"/>
  <c r="L68" i="1"/>
  <c r="L69" i="1" s="1"/>
  <c r="L22" i="1"/>
  <c r="L23" i="1" s="1"/>
  <c r="L58" i="1"/>
  <c r="L59" i="1" s="1"/>
  <c r="L13" i="1"/>
  <c r="L14" i="1" s="1"/>
  <c r="L31" i="1"/>
  <c r="L32" i="1" s="1"/>
  <c r="M35" i="4"/>
  <c r="M34" i="4" s="1"/>
  <c r="M32" i="4"/>
  <c r="L77" i="1"/>
  <c r="L78" i="1" s="1"/>
  <c r="M125" i="4"/>
  <c r="M124" i="4" s="1"/>
  <c r="M122" i="4"/>
  <c r="L75" i="4"/>
  <c r="L81" i="4"/>
  <c r="L19" i="4"/>
  <c r="L25" i="4"/>
  <c r="L32" i="4"/>
  <c r="L35" i="4"/>
  <c r="L34" i="4" s="1"/>
  <c r="M70" i="4"/>
  <c r="M64" i="4"/>
  <c r="L103" i="4"/>
  <c r="L102" i="4" s="1"/>
  <c r="L100" i="4"/>
  <c r="L137" i="4"/>
  <c r="L131" i="4"/>
  <c r="L104" i="1"/>
  <c r="L105" i="1" s="1"/>
  <c r="M86" i="1"/>
  <c r="M87" i="1" s="1"/>
  <c r="M55" i="4"/>
  <c r="M58" i="4"/>
  <c r="M57" i="4" s="1"/>
  <c r="K15" i="4"/>
  <c r="K16" i="4" s="1"/>
  <c r="L64" i="4"/>
  <c r="L70" i="4"/>
  <c r="L88" i="4"/>
  <c r="L91" i="4"/>
  <c r="L90" i="4" s="1"/>
  <c r="L40" i="1"/>
  <c r="L41" i="1" s="1"/>
  <c r="K26" i="4"/>
  <c r="K27" i="4" s="1"/>
  <c r="M43" i="4"/>
  <c r="M46" i="4"/>
  <c r="M45" i="4" s="1"/>
  <c r="M120" i="4"/>
  <c r="M126" i="4"/>
  <c r="L80" i="4"/>
  <c r="L79" i="4" s="1"/>
  <c r="L77" i="4"/>
  <c r="L13" i="4"/>
  <c r="L12" i="4" s="1"/>
  <c r="L10" i="4"/>
  <c r="M66" i="4"/>
  <c r="M69" i="4"/>
  <c r="M68" i="4" s="1"/>
  <c r="L98" i="4"/>
  <c r="L104" i="4"/>
  <c r="L136" i="4"/>
  <c r="L135" i="4" s="1"/>
  <c r="L133" i="4"/>
  <c r="L41" i="4"/>
  <c r="L47" i="4"/>
  <c r="L66" i="4"/>
  <c r="L69" i="4"/>
  <c r="L68" i="4" s="1"/>
  <c r="L92" i="4"/>
  <c r="L86" i="4"/>
  <c r="K82" i="4"/>
  <c r="K83" i="4" s="1"/>
  <c r="M13" i="1"/>
  <c r="M14" i="1" s="1"/>
  <c r="M31" i="1"/>
  <c r="M32" i="1" s="1"/>
  <c r="M24" i="4"/>
  <c r="M23" i="4" s="1"/>
  <c r="M21" i="4"/>
  <c r="K105" i="4"/>
  <c r="K106" i="4" s="1"/>
  <c r="M88" i="4"/>
  <c r="M91" i="4"/>
  <c r="M90" i="4" s="1"/>
  <c r="M80" i="4"/>
  <c r="M79" i="4" s="1"/>
  <c r="M77" i="4"/>
  <c r="L122" i="4"/>
  <c r="L125" i="4"/>
  <c r="L124" i="4" s="1"/>
  <c r="M98" i="4"/>
  <c r="M104" i="4"/>
  <c r="M133" i="4"/>
  <c r="M136" i="4"/>
  <c r="M135" i="4" s="1"/>
  <c r="M25" i="4"/>
  <c r="M19" i="4"/>
  <c r="M30" i="4"/>
  <c r="M36" i="4"/>
  <c r="K127" i="4"/>
  <c r="K128" i="4" s="1"/>
  <c r="M40" i="1"/>
  <c r="M41" i="1" s="1"/>
  <c r="M58" i="1"/>
  <c r="M59" i="1" s="1"/>
  <c r="L21" i="4"/>
  <c r="L24" i="4"/>
  <c r="L23" i="4" s="1"/>
  <c r="L30" i="4"/>
  <c r="L36" i="4"/>
  <c r="L53" i="4"/>
  <c r="L59" i="4"/>
  <c r="M86" i="4"/>
  <c r="M92" i="4"/>
  <c r="M53" i="4"/>
  <c r="M59" i="4"/>
  <c r="M10" i="4"/>
  <c r="M13" i="4"/>
  <c r="M12" i="4" s="1"/>
  <c r="L86" i="1"/>
  <c r="L87" i="1" s="1"/>
  <c r="M77" i="1"/>
  <c r="M78" i="1" s="1"/>
  <c r="M75" i="4"/>
  <c r="M81" i="4"/>
  <c r="L120" i="4"/>
  <c r="L126" i="4"/>
  <c r="M100" i="4"/>
  <c r="M103" i="4"/>
  <c r="M102" i="4" s="1"/>
  <c r="M137" i="4"/>
  <c r="M131" i="4"/>
  <c r="M104" i="1"/>
  <c r="M105" i="1" s="1"/>
  <c r="K37" i="4"/>
  <c r="K38" i="4" s="1"/>
  <c r="M82" i="4" l="1"/>
  <c r="M83" i="4" s="1"/>
  <c r="M60" i="4"/>
  <c r="M61" i="4" s="1"/>
  <c r="L48" i="4"/>
  <c r="L49" i="4" s="1"/>
  <c r="M93" i="4"/>
  <c r="M94" i="4" s="1"/>
  <c r="M26" i="4"/>
  <c r="M27" i="4" s="1"/>
  <c r="L127" i="4"/>
  <c r="L128" i="4" s="1"/>
  <c r="L93" i="4"/>
  <c r="L94" i="4" s="1"/>
  <c r="L105" i="4"/>
  <c r="L106" i="4" s="1"/>
  <c r="M138" i="4"/>
  <c r="M139" i="4" s="1"/>
  <c r="M127" i="4"/>
  <c r="M128" i="4" s="1"/>
  <c r="L71" i="4"/>
  <c r="L72" i="4" s="1"/>
  <c r="L138" i="4"/>
  <c r="L139" i="4" s="1"/>
  <c r="M71" i="4"/>
  <c r="M72" i="4" s="1"/>
  <c r="M48" i="4"/>
  <c r="M49" i="4" s="1"/>
  <c r="M105" i="4"/>
  <c r="M106" i="4" s="1"/>
  <c r="M15" i="4"/>
  <c r="M16" i="4" s="1"/>
  <c r="L15" i="4"/>
  <c r="L16" i="4" s="1"/>
  <c r="L60" i="4"/>
  <c r="L61" i="4" s="1"/>
  <c r="L37" i="4"/>
  <c r="L38" i="4" s="1"/>
  <c r="M37" i="4"/>
  <c r="M38" i="4" s="1"/>
  <c r="L26" i="4"/>
  <c r="L27" i="4" s="1"/>
  <c r="L82" i="4"/>
  <c r="L8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Anthony J Fanchi</author>
  </authors>
  <commentList>
    <comment ref="C44" authorId="0" shapeId="0" xr:uid="{00000000-0006-0000-0000-000005000000}">
      <text>
        <r>
          <rPr>
            <b/>
            <sz val="8"/>
            <color indexed="81"/>
            <rFont val="Tahoma"/>
            <family val="2"/>
          </rPr>
          <t>Choose an area from the provided list, which will automatically select the correct Locality and/or COLA rate.  You may also manually change the rates below.  Please note that you must still select the appropriate area.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francis.scott</author>
    <author>Anthony J Fanchi</author>
  </authors>
  <commentList>
    <comment ref="C15" authorId="0" shapeId="0" xr:uid="{00000000-0006-0000-0400-000001000000}">
      <text>
        <r>
          <rPr>
            <b/>
            <sz val="8"/>
            <color indexed="81"/>
            <rFont val="Tahoma"/>
            <family val="2"/>
          </rPr>
          <t>Enter Annual Base Salary only!  Do not include Locality Pay, Local Market Supplement, or overtime.</t>
        </r>
      </text>
    </comment>
    <comment ref="C20" authorId="1" shapeId="0" xr:uid="{00000000-0006-0000-0400-000002000000}">
      <text>
        <r>
          <rPr>
            <b/>
            <sz val="8"/>
            <color indexed="81"/>
            <rFont val="Tahoma"/>
            <family val="2"/>
          </rPr>
          <t xml:space="preserve">REG BASE PAY refers to the amount listed in block 7 of your LES and is used by this program to calculate hourly rates only!  It is </t>
        </r>
        <r>
          <rPr>
            <b/>
            <u/>
            <sz val="8"/>
            <color indexed="81"/>
            <rFont val="Tahoma"/>
            <family val="2"/>
          </rPr>
          <t>not</t>
        </r>
        <r>
          <rPr>
            <b/>
            <sz val="8"/>
            <color indexed="81"/>
            <rFont val="Tahoma"/>
            <family val="2"/>
          </rPr>
          <t xml:space="preserve"> a federal firefighter's true base pay and should not be used for calculating retirement, TSP, life insurance, etc.</t>
        </r>
      </text>
    </comment>
    <comment ref="G20" authorId="1" shapeId="0" xr:uid="{00000000-0006-0000-0400-000003000000}">
      <text>
        <r>
          <rPr>
            <b/>
            <sz val="8"/>
            <color indexed="81"/>
            <rFont val="Tahoma"/>
            <family val="2"/>
          </rPr>
          <t xml:space="preserve">REG BASE PAY refers to the amount listed in block 7 of your LES and is used by this program to calculate hourly rates only!  It is </t>
        </r>
        <r>
          <rPr>
            <b/>
            <u/>
            <sz val="8"/>
            <color indexed="81"/>
            <rFont val="Tahoma"/>
            <family val="2"/>
          </rPr>
          <t>not</t>
        </r>
        <r>
          <rPr>
            <b/>
            <sz val="8"/>
            <color indexed="81"/>
            <rFont val="Tahoma"/>
            <family val="2"/>
          </rPr>
          <t xml:space="preserve"> a federal firefighter's true base pay and should not be used for calculating retirement, TSP, life insurance, etc.</t>
        </r>
      </text>
    </comment>
    <comment ref="C21" authorId="1" shapeId="0" xr:uid="{00000000-0006-0000-0400-000004000000}">
      <text>
        <r>
          <rPr>
            <b/>
            <sz val="8"/>
            <color indexed="81"/>
            <rFont val="Tahoma"/>
            <family val="2"/>
          </rPr>
          <t xml:space="preserve">FF PAY refers to the amount earned for 106 hours a pay period (53 a week).  It is approximately the same pay 40-hour a week employees earn.  On your LES, it is referred to as "REGULAR PAY."
</t>
        </r>
      </text>
    </comment>
    <comment ref="G21" authorId="1" shapeId="0" xr:uid="{00000000-0006-0000-0400-000005000000}">
      <text>
        <r>
          <rPr>
            <b/>
            <sz val="8"/>
            <color indexed="81"/>
            <rFont val="Tahoma"/>
            <family val="2"/>
          </rPr>
          <t xml:space="preserve">REG PAY refers to amount earned for the regular 80 hours a pay period (40 a week).  On your LES, it is referred to as "REGULAR PAY."
</t>
        </r>
      </text>
    </comment>
    <comment ref="C22" authorId="1" shapeId="0" xr:uid="{00000000-0006-0000-0400-000006000000}">
      <text>
        <r>
          <rPr>
            <b/>
            <sz val="8"/>
            <color indexed="81"/>
            <rFont val="Tahoma"/>
            <family val="2"/>
          </rPr>
          <t xml:space="preserve">FF RATE refers to the hourly pay actually received for the first 106 hours.  It is less than the normal GS rate.
</t>
        </r>
      </text>
    </comment>
    <comment ref="G22" authorId="1" shapeId="0" xr:uid="{00000000-0006-0000-0400-000007000000}">
      <text>
        <r>
          <rPr>
            <b/>
            <sz val="8"/>
            <color indexed="81"/>
            <rFont val="Tahoma"/>
            <family val="2"/>
          </rPr>
          <t>REG RATE refers to the hourly pay actually received for those 80 hours.  It is the normal hourly rate of a 40-hour employee.</t>
        </r>
      </text>
    </comment>
    <comment ref="C23" authorId="1" shapeId="0" xr:uid="{00000000-0006-0000-0400-000008000000}">
      <text>
        <r>
          <rPr>
            <b/>
            <sz val="8"/>
            <color indexed="81"/>
            <rFont val="Tahoma"/>
            <family val="2"/>
          </rPr>
          <t>OT PAY refers to overtime pay earned for all hours beyond 106.  On your LES, it is referred to as "OT IN TOUR."</t>
        </r>
      </text>
    </comment>
    <comment ref="G23" authorId="1" shapeId="0" xr:uid="{00000000-0006-0000-0400-000009000000}">
      <text>
        <r>
          <rPr>
            <b/>
            <sz val="8"/>
            <color indexed="81"/>
            <rFont val="Tahoma"/>
            <family val="2"/>
          </rPr>
          <t xml:space="preserve">FF PAY refers to the amount earned for 26 hours a pay period (hours 41 to 53 a week).  On your LES, it is also referred to as "REGULAR PAY."
</t>
        </r>
      </text>
    </comment>
    <comment ref="C24" authorId="1" shapeId="0" xr:uid="{00000000-0006-0000-0400-00000A000000}">
      <text>
        <r>
          <rPr>
            <b/>
            <sz val="8"/>
            <color indexed="81"/>
            <rFont val="Tahoma"/>
            <family val="2"/>
          </rPr>
          <t>OT RATE refers to 1 1/2 times the FF hourly rate.  It is less than GS overtime.</t>
        </r>
      </text>
    </comment>
    <comment ref="G24" authorId="1" shapeId="0" xr:uid="{00000000-0006-0000-0400-00000B000000}">
      <text>
        <r>
          <rPr>
            <b/>
            <sz val="8"/>
            <color indexed="81"/>
            <rFont val="Tahoma"/>
            <family val="2"/>
          </rPr>
          <t>FF RATE refers to the hourly pay actually received for those 26 hours.  It is the same as shift firefighters of equal grade and step receive.</t>
        </r>
      </text>
    </comment>
    <comment ref="C25" authorId="1" shapeId="0" xr:uid="{00000000-0006-0000-0400-00000C000000}">
      <text>
        <r>
          <rPr>
            <b/>
            <sz val="8"/>
            <color indexed="81"/>
            <rFont val="Tahoma"/>
            <family val="2"/>
          </rPr>
          <t xml:space="preserve">COLA refers to the Non-Foreign Cost of Living Allowance federal workers receive when employed outside the continental U.S.
</t>
        </r>
      </text>
    </comment>
    <comment ref="G25" authorId="1" shapeId="0" xr:uid="{00000000-0006-0000-0400-00000D000000}">
      <text>
        <r>
          <rPr>
            <b/>
            <sz val="8"/>
            <color indexed="81"/>
            <rFont val="Tahoma"/>
            <family val="2"/>
          </rPr>
          <t xml:space="preserve">OT PAY refers to overtime pay earned for all hours beyond 106.  On your LES, it is referred to as "OT IN TOUR."
</t>
        </r>
      </text>
    </comment>
    <comment ref="C26" authorId="1" shapeId="0" xr:uid="{00000000-0006-0000-0400-00000E000000}">
      <text>
        <r>
          <rPr>
            <b/>
            <sz val="8"/>
            <color indexed="81"/>
            <rFont val="Tahoma"/>
            <family val="2"/>
          </rPr>
          <t xml:space="preserve">PAY PERIOD refers to the actual gross pay you should receive each pay period.  It is derived by adding FF and OT pay together plus COLA (if applicable).
</t>
        </r>
      </text>
    </comment>
    <comment ref="G26" authorId="1" shapeId="0" xr:uid="{00000000-0006-0000-0400-00000F000000}">
      <text>
        <r>
          <rPr>
            <b/>
            <sz val="8"/>
            <color indexed="81"/>
            <rFont val="Tahoma"/>
            <family val="2"/>
          </rPr>
          <t>OT RATE refers to 1 1/2 times the FF hourly rate.  It is less than GS overtime.</t>
        </r>
      </text>
    </comment>
    <comment ref="C27" authorId="1" shapeId="0" xr:uid="{00000000-0006-0000-0400-000010000000}">
      <text>
        <r>
          <rPr>
            <b/>
            <sz val="8"/>
            <color indexed="81"/>
            <rFont val="Tahoma"/>
            <family val="2"/>
          </rPr>
          <t xml:space="preserve">ANNUAL PAY refers to the actual gross pay you should receive for 26 or 27 (if applicable) pay periods.  
</t>
        </r>
      </text>
    </comment>
    <comment ref="G27" authorId="1" shapeId="0" xr:uid="{00000000-0006-0000-0400-000011000000}">
      <text>
        <r>
          <rPr>
            <b/>
            <sz val="8"/>
            <color indexed="81"/>
            <rFont val="Tahoma"/>
            <family val="2"/>
          </rPr>
          <t xml:space="preserve">COLA refers to the Non-Foreign Cost of Living Allowance federal workers receive when employed outside the continental U.S.
</t>
        </r>
      </text>
    </comment>
    <comment ref="C28" authorId="1" shapeId="0" xr:uid="{00000000-0006-0000-0400-000012000000}">
      <text>
        <r>
          <rPr>
            <b/>
            <sz val="8"/>
            <color indexed="81"/>
            <rFont val="Tahoma"/>
            <family val="2"/>
          </rPr>
          <t xml:space="preserve">FF BASE PAY refers to the "True Base Pay" of a federal firefighter.  It is the base pay that is credible for retirement, TSP, life insurance, and other purposes.  This is the amount that will be used to calculate your "High 3" salary.
</t>
        </r>
      </text>
    </comment>
    <comment ref="G28" authorId="1" shapeId="0" xr:uid="{00000000-0006-0000-0400-000013000000}">
      <text>
        <r>
          <rPr>
            <b/>
            <sz val="8"/>
            <color indexed="81"/>
            <rFont val="Tahoma"/>
            <family val="2"/>
          </rPr>
          <t>PAY PERIOD refers to the actual gross pay you should receive each pay period.  It is derived by adding GS, FF, and OT pay together plus COLA (if applicable).</t>
        </r>
      </text>
    </comment>
    <comment ref="G29" authorId="1" shapeId="0" xr:uid="{00000000-0006-0000-0400-000014000000}">
      <text>
        <r>
          <rPr>
            <b/>
            <sz val="8"/>
            <color indexed="81"/>
            <rFont val="Tahoma"/>
            <family val="2"/>
          </rPr>
          <t xml:space="preserve">ANNUAL PAY refers to the actual gross pay you should receive for 26 or 27 (if applicable) pay periods.  
</t>
        </r>
      </text>
    </comment>
    <comment ref="G30" authorId="1" shapeId="0" xr:uid="{00000000-0006-0000-0400-000015000000}">
      <text>
        <r>
          <rPr>
            <b/>
            <sz val="8"/>
            <color indexed="81"/>
            <rFont val="Tahoma"/>
            <family val="2"/>
          </rPr>
          <t xml:space="preserve">FF BASE PAY refers to the "True Base Pay" of a federal firefighter.  It is the base pay that is credible for retirement, TSP, life insurance, and other purposes.  This is the amount that will be used to calculate your "High 3" salary.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Anthony J Fanchi</author>
  </authors>
  <commentList>
    <comment ref="C7" authorId="0" shapeId="0" xr:uid="{00000000-0006-0000-0600-000001000000}">
      <text>
        <r>
          <rPr>
            <b/>
            <sz val="8"/>
            <color indexed="81"/>
            <rFont val="Tahoma"/>
            <family val="2"/>
          </rPr>
          <t xml:space="preserve">GS BASE PAY refers to the amount listed in block 7 of your LES and is used by this program to calculate hourly rates only!  It is </t>
        </r>
        <r>
          <rPr>
            <b/>
            <u/>
            <sz val="8"/>
            <color indexed="81"/>
            <rFont val="Tahoma"/>
            <family val="2"/>
          </rPr>
          <t>not</t>
        </r>
        <r>
          <rPr>
            <b/>
            <sz val="8"/>
            <color indexed="81"/>
            <rFont val="Tahoma"/>
            <family val="2"/>
          </rPr>
          <t xml:space="preserve"> a federal firefighter's true base pay and should not be used for calculating retirement, TSP, life insurance, etc.</t>
        </r>
      </text>
    </comment>
    <comment ref="C8" authorId="0" shapeId="0" xr:uid="{00000000-0006-0000-0600-000002000000}">
      <text>
        <r>
          <rPr>
            <b/>
            <sz val="8"/>
            <color indexed="81"/>
            <rFont val="Tahoma"/>
            <family val="2"/>
          </rPr>
          <t xml:space="preserve">FF PAY refers to the amount earned for 106 hours a pay period (53 a week).  It is approximately the same pay 40-hour a week employees earn.  On your LES, it is referred to as "REGULAR PAY."
</t>
        </r>
      </text>
    </comment>
    <comment ref="C9" authorId="0" shapeId="0" xr:uid="{00000000-0006-0000-0600-000003000000}">
      <text>
        <r>
          <rPr>
            <b/>
            <sz val="8"/>
            <color indexed="81"/>
            <rFont val="Tahoma"/>
            <family val="2"/>
          </rPr>
          <t xml:space="preserve">FF RATE refers to the hourly pay actually received for the first 106 hours.  It is less than the normal GS rate.
</t>
        </r>
      </text>
    </comment>
    <comment ref="C10" authorId="0" shapeId="0" xr:uid="{00000000-0006-0000-0600-000004000000}">
      <text>
        <r>
          <rPr>
            <b/>
            <sz val="8"/>
            <color indexed="81"/>
            <rFont val="Tahoma"/>
            <family val="2"/>
          </rPr>
          <t xml:space="preserve">OT PAY refers to overtime pay earned for all hours beyond 106.  On your LES, it is referred to as "OT IN TOUR."
</t>
        </r>
      </text>
    </comment>
    <comment ref="C11" authorId="0" shapeId="0" xr:uid="{00000000-0006-0000-0600-000005000000}">
      <text>
        <r>
          <rPr>
            <b/>
            <sz val="8"/>
            <color indexed="81"/>
            <rFont val="Tahoma"/>
            <family val="2"/>
          </rPr>
          <t>OT RATE refers to 1 1/2 times the FF hourly rate.  It is less than GS overtime.</t>
        </r>
      </text>
    </comment>
    <comment ref="C12" authorId="0" shapeId="0" xr:uid="{00000000-0006-0000-0600-000006000000}">
      <text>
        <r>
          <rPr>
            <b/>
            <sz val="8"/>
            <color indexed="81"/>
            <rFont val="Tahoma"/>
            <family val="2"/>
          </rPr>
          <t xml:space="preserve">COLA refers to the Non-Foreign Cost of Living Allowance federal workers receive when employed outside the continental U.S.
</t>
        </r>
      </text>
    </comment>
    <comment ref="C13" authorId="0" shapeId="0" xr:uid="{00000000-0006-0000-0600-000007000000}">
      <text>
        <r>
          <rPr>
            <b/>
            <sz val="8"/>
            <color indexed="81"/>
            <rFont val="Tahoma"/>
            <family val="2"/>
          </rPr>
          <t xml:space="preserve">PAY PERIOD refers to the actual gross pay you should receive each pay period.  It is derived by adding FF and OT pay together plus COLA (if applicable).
</t>
        </r>
      </text>
    </comment>
    <comment ref="C14" authorId="0" shapeId="0" xr:uid="{00000000-0006-0000-0600-000008000000}">
      <text>
        <r>
          <rPr>
            <b/>
            <sz val="8"/>
            <color indexed="81"/>
            <rFont val="Tahoma"/>
            <family val="2"/>
          </rPr>
          <t xml:space="preserve">ANNUAL PAY refers to the actual gross pay you should receive for 26 pay periods.  
</t>
        </r>
      </text>
    </comment>
    <comment ref="C15" authorId="0" shapeId="0" xr:uid="{00000000-0006-0000-0600-000009000000}">
      <text>
        <r>
          <rPr>
            <b/>
            <sz val="8"/>
            <color indexed="81"/>
            <rFont val="Tahoma"/>
            <family val="2"/>
          </rPr>
          <t xml:space="preserve">FF BASE PAY refers to the "True Base Pay" of a federal firefighter.  It is the base pay that is credible for retirement, TSP, life insurance, and other purposes.  This is the amount that will be used to calculate your "High 3" salary.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Anthony J Fanchi</author>
  </authors>
  <commentList>
    <comment ref="C7" authorId="0" shapeId="0" xr:uid="{00000000-0006-0000-0700-000001000000}">
      <text>
        <r>
          <rPr>
            <b/>
            <sz val="8"/>
            <color indexed="81"/>
            <rFont val="Tahoma"/>
            <family val="2"/>
          </rPr>
          <t xml:space="preserve">GS BASE PAY refers to the amount listed in block 7 of your LES and is used by this program to calculate hourly rates only!  It is </t>
        </r>
        <r>
          <rPr>
            <b/>
            <u/>
            <sz val="8"/>
            <color indexed="81"/>
            <rFont val="Tahoma"/>
            <family val="2"/>
          </rPr>
          <t>not</t>
        </r>
        <r>
          <rPr>
            <b/>
            <sz val="8"/>
            <color indexed="81"/>
            <rFont val="Tahoma"/>
            <family val="2"/>
          </rPr>
          <t xml:space="preserve"> a federal firefighter's true base pay and should not be used for calculating retirement, TSP, life insurance, etc.</t>
        </r>
      </text>
    </comment>
    <comment ref="C8" authorId="0" shapeId="0" xr:uid="{00000000-0006-0000-0700-000002000000}">
      <text>
        <r>
          <rPr>
            <b/>
            <sz val="8"/>
            <color indexed="81"/>
            <rFont val="Tahoma"/>
            <family val="2"/>
          </rPr>
          <t xml:space="preserve">GS PAY refers to amount earned for the regular 80 hours a pay period (40 a week).  On your LES, it is referred to as "REGULAR PAY."
</t>
        </r>
      </text>
    </comment>
    <comment ref="C9" authorId="0" shapeId="0" xr:uid="{00000000-0006-0000-0700-000003000000}">
      <text>
        <r>
          <rPr>
            <b/>
            <sz val="8"/>
            <color indexed="81"/>
            <rFont val="Tahoma"/>
            <family val="2"/>
          </rPr>
          <t xml:space="preserve">GS RATE refers to the hourly pay actually received for those 80 hours.  It is the normal GS rate.
</t>
        </r>
      </text>
    </comment>
    <comment ref="C10" authorId="0" shapeId="0" xr:uid="{00000000-0006-0000-0700-000004000000}">
      <text>
        <r>
          <rPr>
            <b/>
            <sz val="8"/>
            <color indexed="81"/>
            <rFont val="Tahoma"/>
            <family val="2"/>
          </rPr>
          <t xml:space="preserve">FF PAY refers to the amount earned for 26 hours a pay period (hours 41 to 53 a week).  On your LES, it is also referred to as "REGULAR PAY."
</t>
        </r>
      </text>
    </comment>
    <comment ref="C11" authorId="0" shapeId="0" xr:uid="{00000000-0006-0000-0700-000005000000}">
      <text>
        <r>
          <rPr>
            <b/>
            <sz val="8"/>
            <color indexed="81"/>
            <rFont val="Tahoma"/>
            <family val="2"/>
          </rPr>
          <t>FF RATE refers to the hourly pay actually received for those 26 hours.  It is the same as shift firefighters of equal grade and step receive.</t>
        </r>
      </text>
    </comment>
    <comment ref="C12" authorId="0" shapeId="0" xr:uid="{00000000-0006-0000-0700-000006000000}">
      <text>
        <r>
          <rPr>
            <b/>
            <sz val="8"/>
            <color indexed="81"/>
            <rFont val="Tahoma"/>
            <family val="2"/>
          </rPr>
          <t xml:space="preserve">OT PAY refers to overtime pay earned for all hours beyond 106.  On your LES, it is referred to as "OT IN TOUR."
</t>
        </r>
      </text>
    </comment>
    <comment ref="C13" authorId="0" shapeId="0" xr:uid="{00000000-0006-0000-0700-000007000000}">
      <text>
        <r>
          <rPr>
            <b/>
            <sz val="8"/>
            <color indexed="81"/>
            <rFont val="Tahoma"/>
            <family val="2"/>
          </rPr>
          <t>OT RATE refers to 1 1/2 times the FF hourly rate.  It is less than GS overtime.</t>
        </r>
      </text>
    </comment>
    <comment ref="C14" authorId="0" shapeId="0" xr:uid="{00000000-0006-0000-0700-000008000000}">
      <text>
        <r>
          <rPr>
            <b/>
            <sz val="8"/>
            <color indexed="81"/>
            <rFont val="Tahoma"/>
            <family val="2"/>
          </rPr>
          <t xml:space="preserve">COLA refers to the Non-Foreign Cost of Living Allowance federal workers receive when employed outside the continental U.S.
</t>
        </r>
      </text>
    </comment>
    <comment ref="C15" authorId="0" shapeId="0" xr:uid="{00000000-0006-0000-0700-000009000000}">
      <text>
        <r>
          <rPr>
            <b/>
            <sz val="8"/>
            <color indexed="81"/>
            <rFont val="Tahoma"/>
            <family val="2"/>
          </rPr>
          <t>PAY PERIOD refers to the actual gross pay you should receive each pay period.  It is derived by adding GS, FF, and OT pay together plus COLA (if applicable).</t>
        </r>
      </text>
    </comment>
    <comment ref="C16" authorId="0" shapeId="0" xr:uid="{00000000-0006-0000-0700-00000A000000}">
      <text>
        <r>
          <rPr>
            <b/>
            <sz val="8"/>
            <color indexed="81"/>
            <rFont val="Tahoma"/>
            <family val="2"/>
          </rPr>
          <t xml:space="preserve">ANNUAL PAY refers to the actual gross pay you should receive for 26 pay periods.  
</t>
        </r>
      </text>
    </comment>
    <comment ref="C17" authorId="0" shapeId="0" xr:uid="{00000000-0006-0000-0700-00000B000000}">
      <text>
        <r>
          <rPr>
            <b/>
            <sz val="8"/>
            <color indexed="81"/>
            <rFont val="Tahoma"/>
            <family val="2"/>
          </rPr>
          <t xml:space="preserve">FF BASE PAY refers to the "True Base Pay" of a federal firefighter.  It is the base pay that is credible for retirement, TSP, life insurance, and other purposes.  This is the amount that will be used to calculate your "High 3" salary.
</t>
        </r>
      </text>
    </comment>
  </commentList>
</comments>
</file>

<file path=xl/sharedStrings.xml><?xml version="1.0" encoding="utf-8"?>
<sst xmlns="http://schemas.openxmlformats.org/spreadsheetml/2006/main" count="553" uniqueCount="190">
  <si>
    <t>GRADE</t>
  </si>
  <si>
    <t>TYPE</t>
  </si>
  <si>
    <t>STEP 1</t>
  </si>
  <si>
    <t>STEP 2</t>
  </si>
  <si>
    <t>STEP 3</t>
  </si>
  <si>
    <t>STEP 4</t>
  </si>
  <si>
    <t>STEP 5</t>
  </si>
  <si>
    <t>STEP 6</t>
  </si>
  <si>
    <t>STEP 7</t>
  </si>
  <si>
    <t>STEP 8</t>
  </si>
  <si>
    <t>STEP 9</t>
  </si>
  <si>
    <t>STEP 10</t>
  </si>
  <si>
    <t>GS 7</t>
  </si>
  <si>
    <t>FF RATE</t>
  </si>
  <si>
    <t>OT RATE</t>
  </si>
  <si>
    <t>GS 8</t>
  </si>
  <si>
    <t>GS 11</t>
  </si>
  <si>
    <t>PAY PERIOD</t>
  </si>
  <si>
    <t>GS 6</t>
  </si>
  <si>
    <t xml:space="preserve"> </t>
  </si>
  <si>
    <t>GS RATE</t>
  </si>
  <si>
    <t>GS 9</t>
  </si>
  <si>
    <t>GS 3</t>
  </si>
  <si>
    <t>GS 4</t>
  </si>
  <si>
    <t>GS 5</t>
  </si>
  <si>
    <t>GS 10</t>
  </si>
  <si>
    <t>GS 12</t>
  </si>
  <si>
    <t>Grade</t>
  </si>
  <si>
    <t>Annual Rates for Steps (in dollars)</t>
  </si>
  <si>
    <t> </t>
  </si>
  <si>
    <t>GS BASE PAY</t>
  </si>
  <si>
    <t>GS 13</t>
  </si>
  <si>
    <t>Overtime rate is capped at GS 10 step 1-True Overtime.  Currently:</t>
  </si>
  <si>
    <t>ANNUAL PAY</t>
  </si>
  <si>
    <t>YEAR</t>
  </si>
  <si>
    <t>This is NOT an official pay chart.</t>
  </si>
  <si>
    <t>Shift Schedule:</t>
  </si>
  <si>
    <t>Hours</t>
  </si>
  <si>
    <t>FF PAY</t>
  </si>
  <si>
    <t>OT  PAY</t>
  </si>
  <si>
    <t>HOURS</t>
  </si>
  <si>
    <t>GS PAY</t>
  </si>
  <si>
    <t>RAISE</t>
  </si>
  <si>
    <t>COLA (If used)</t>
  </si>
  <si>
    <t>Steps</t>
  </si>
  <si>
    <t>GS-3</t>
  </si>
  <si>
    <t>GS-4</t>
  </si>
  <si>
    <t>GS-5</t>
  </si>
  <si>
    <t>GS-6</t>
  </si>
  <si>
    <t>GS-7</t>
  </si>
  <si>
    <t>GS-8</t>
  </si>
  <si>
    <t>GS-9</t>
  </si>
  <si>
    <t>GS-10</t>
  </si>
  <si>
    <t>GS-11</t>
  </si>
  <si>
    <t>GS-12</t>
  </si>
  <si>
    <t>GS-13</t>
  </si>
  <si>
    <t>Year</t>
  </si>
  <si>
    <t>Raise</t>
  </si>
  <si>
    <t>GENERAL SCHEDULE PAY - NO LOCALITY</t>
  </si>
  <si>
    <t>U.S. Virgin Islands</t>
  </si>
  <si>
    <t>Guam and Northern Mariana Islands</t>
  </si>
  <si>
    <t>Puerto Rico</t>
  </si>
  <si>
    <t>Set for Rest of US initially.  Change as needed.</t>
  </si>
  <si>
    <t>Locality Rate:</t>
  </si>
  <si>
    <t>Basic Pay (No Locality or COLA)</t>
  </si>
  <si>
    <t>Applicable year:</t>
  </si>
  <si>
    <t>FF BASE PAY</t>
  </si>
  <si>
    <t>should not be used for calculating retirement, TSP, life insurance, etc.</t>
  </si>
  <si>
    <t xml:space="preserve">FF BASE PAY refers to the "True Base Pay" of a federal firefighter.  It is the base pay that is credible for retirement, TSP, life insurance, and other purposes.  This is the </t>
  </si>
  <si>
    <t>amount that will be used to calculate your "High 3" salary.</t>
  </si>
  <si>
    <r>
      <t xml:space="preserve">GS BASE PAY refers to the amount listed in block 7 of your LES and is used by this program to calculate hourly rates only!  It is </t>
    </r>
    <r>
      <rPr>
        <b/>
        <u/>
        <sz val="10"/>
        <rFont val="Arial"/>
        <family val="2"/>
      </rPr>
      <t>not</t>
    </r>
    <r>
      <rPr>
        <b/>
        <sz val="10"/>
        <rFont val="Arial"/>
        <family val="2"/>
      </rPr>
      <t xml:space="preserve"> a federal firefighter's true base pay and </t>
    </r>
  </si>
  <si>
    <t>Special Note:  This chart is for reference only!  It should match the pay charts on OPM's website.  It does not reflect the pay of a federal firefighter.</t>
  </si>
  <si>
    <t>Examples</t>
  </si>
  <si>
    <t>American Samoa</t>
  </si>
  <si>
    <t>Johnston and Sand Island</t>
  </si>
  <si>
    <t>Midway Islands</t>
  </si>
  <si>
    <t>Wake Island</t>
  </si>
  <si>
    <t>Rest of the United States</t>
  </si>
  <si>
    <t>Locality Pay Rate:</t>
  </si>
  <si>
    <t xml:space="preserve"> Make sure the manual entries are blank if not applicable.</t>
  </si>
  <si>
    <t xml:space="preserve"> Caution: These entries will replace the above rates.</t>
  </si>
  <si>
    <t>Post</t>
  </si>
  <si>
    <t>Return to Start Page</t>
  </si>
  <si>
    <t>COLA Rate:</t>
  </si>
  <si>
    <t>Shift Firefighters</t>
  </si>
  <si>
    <t>Annual Basic Pay:</t>
  </si>
  <si>
    <t>PAY</t>
  </si>
  <si>
    <t>Chief, Training, Inspectors</t>
  </si>
  <si>
    <t>Do you receive a Post Differential?</t>
  </si>
  <si>
    <t>Yes</t>
  </si>
  <si>
    <t>No</t>
  </si>
  <si>
    <t>Frozen COLA</t>
  </si>
  <si>
    <t>Adjusted COLA</t>
  </si>
  <si>
    <t>COLA/Post Diff Rate:</t>
  </si>
  <si>
    <t>Alaska-Anchorage-Fairbanks-Juneau</t>
  </si>
  <si>
    <t>Alaska-Rest of Alaska</t>
  </si>
  <si>
    <t>Hawaii-(County)</t>
  </si>
  <si>
    <t>Hawaii-Honolulu-Kauai-Maui and Kalawao</t>
  </si>
  <si>
    <t>Locality Pay Area</t>
  </si>
  <si>
    <t>Locality Rate</t>
  </si>
  <si>
    <t>GS-14</t>
  </si>
  <si>
    <t>GS 14</t>
  </si>
  <si>
    <t xml:space="preserve">GS BASE PAY refers to the amount listed in block 7 of your LES and is used by this program to calculate hourly rates only!  It is not a federal firefighter's true base pay and </t>
  </si>
  <si>
    <t>PAY RETENTION &amp; SPECIAL RATES</t>
  </si>
  <si>
    <t>*Note: This page is for personnel who are paid a specific salary not covered by the GS pay tables*</t>
  </si>
  <si>
    <t>This form is used to enter any special salary you may receive.  Once the "Start Page" settings are correct, you can use this form to calculate your firefighter pay.  If you do not receive any locality pay and/or COLA, you should select the "Basic Pay (No Locality or COLA)" tab on the "Start Page" or manually enter 0.0% for each rate.  If your actual rate(s) is different then the one(s) provided for your area, manually enter the correct rate(s) on the "Start Page".</t>
  </si>
  <si>
    <r>
      <t>ANNUAL BASIC PAY:</t>
    </r>
    <r>
      <rPr>
        <sz val="10"/>
        <rFont val="Arial"/>
        <family val="2"/>
      </rPr>
      <t xml:space="preserve">  Please enter the amount of your annual pay, </t>
    </r>
    <r>
      <rPr>
        <b/>
        <sz val="10"/>
        <rFont val="Arial"/>
        <family val="2"/>
      </rPr>
      <t>NOT</t>
    </r>
    <r>
      <rPr>
        <sz val="10"/>
        <rFont val="Arial"/>
        <family val="2"/>
      </rPr>
      <t xml:space="preserve"> including Locality Pay, Local Market Supplement or any firefighter overtime.</t>
    </r>
  </si>
  <si>
    <t>REG BASE PAY</t>
  </si>
  <si>
    <t>REG PAY</t>
  </si>
  <si>
    <t>REG RATE</t>
  </si>
  <si>
    <t>Pay Retention &amp; Special Rates</t>
  </si>
  <si>
    <t>Note:  Basic pay will vary from employee to employee.  You will have to refer to your latest Form 50, career brief or recent LES to find your current basic pay.</t>
  </si>
  <si>
    <t xml:space="preserve">Albuquerque-Santa Fe-Las Vegas, NM </t>
  </si>
  <si>
    <t xml:space="preserve">Atlanta—Athens-Clarke County—Sandy Springs, GA-AL </t>
  </si>
  <si>
    <t xml:space="preserve">Austin-Round Rock, TX </t>
  </si>
  <si>
    <t xml:space="preserve">Buffalo-Cheektowaga, NY </t>
  </si>
  <si>
    <t xml:space="preserve">Charlotte-Concord, NC-SC </t>
  </si>
  <si>
    <t xml:space="preserve">Chicago-Naperville, IL-IN-WI </t>
  </si>
  <si>
    <t xml:space="preserve">Cincinnati-Wilmington-Maysville, OH-KY-IN </t>
  </si>
  <si>
    <t xml:space="preserve">Cleveland-Akron-Canton, OH </t>
  </si>
  <si>
    <t xml:space="preserve">Colorado Springs, CO </t>
  </si>
  <si>
    <t xml:space="preserve">Columbus-Marion-Zanesville, OH </t>
  </si>
  <si>
    <t xml:space="preserve">Dallas-Fort Worth, TX-OK </t>
  </si>
  <si>
    <t xml:space="preserve">Davenport-Moline, IA-IL </t>
  </si>
  <si>
    <t xml:space="preserve">Dayton-Springfield-Sidney, OH </t>
  </si>
  <si>
    <t xml:space="preserve">Denver-Aurora, CO </t>
  </si>
  <si>
    <t xml:space="preserve">Detroit-Warren-Ann Arbor, MI </t>
  </si>
  <si>
    <t xml:space="preserve">Harrisburg-Lebanon, PA </t>
  </si>
  <si>
    <t xml:space="preserve">Hartford-West Hartford, CT-MA </t>
  </si>
  <si>
    <t xml:space="preserve">Houston-The Woodlands, TX </t>
  </si>
  <si>
    <t xml:space="preserve">Huntsville-Decatur-Albertville, AL </t>
  </si>
  <si>
    <t xml:space="preserve">Indianapolis-Carmel-Muncie, IN </t>
  </si>
  <si>
    <t xml:space="preserve">Kansas City-Overland Park-Kansas City, MO-KS </t>
  </si>
  <si>
    <t xml:space="preserve">Laredo, TX </t>
  </si>
  <si>
    <t xml:space="preserve">Las Vegas-Henderson, NV-AZ </t>
  </si>
  <si>
    <t xml:space="preserve">Los Angeles-Long Beach, CA </t>
  </si>
  <si>
    <t xml:space="preserve">Miami-Fort Lauderdale-Port St. Lucie, FL </t>
  </si>
  <si>
    <t xml:space="preserve">Milwaukee-Racine-Waukesha, WI </t>
  </si>
  <si>
    <t xml:space="preserve">Minneapolis-St. Paul, MN-WI </t>
  </si>
  <si>
    <t xml:space="preserve">New York-Newark, NY-NJ-CT-PA </t>
  </si>
  <si>
    <t xml:space="preserve">Palm Bay-Melbourne-Titusville, FL </t>
  </si>
  <si>
    <t xml:space="preserve">Philadelphia-Reading-Camden, PA-NJ-DE-MD </t>
  </si>
  <si>
    <t xml:space="preserve">Phoenix-Mesa-Scottsdale, AZ </t>
  </si>
  <si>
    <t xml:space="preserve">Pittsburgh-New Castle-Weirton, PA-OH-WV </t>
  </si>
  <si>
    <t xml:space="preserve">Portland-Vancouver-Salem, OR-WA </t>
  </si>
  <si>
    <t xml:space="preserve">Raleigh-Durham-Chapel Hill, NC </t>
  </si>
  <si>
    <t xml:space="preserve">Richmond, VA </t>
  </si>
  <si>
    <t xml:space="preserve">Sacramento-Roseville, CA-NV </t>
  </si>
  <si>
    <t xml:space="preserve">San Diego-Carlsbad, CA </t>
  </si>
  <si>
    <t xml:space="preserve">San Jose-San Francisco-Oakland, CA </t>
  </si>
  <si>
    <t xml:space="preserve">Seattle-Tacoma, WA </t>
  </si>
  <si>
    <t xml:space="preserve">St. Louis-St. Charles-Farmington, MO-IL </t>
  </si>
  <si>
    <t xml:space="preserve">Tucson-Nogales, AZ </t>
  </si>
  <si>
    <t xml:space="preserve">Washington-Baltimore-Arlington, DC-MD-VA-WV-PA </t>
  </si>
  <si>
    <t>Birmingham-Hoover-Talladega, AL</t>
  </si>
  <si>
    <t>Albany-Schenectady, NY-MA</t>
  </si>
  <si>
    <t xml:space="preserve">Boston-Worcester-Providence, MA-RI-NH-ME </t>
  </si>
  <si>
    <t>Burlington-South Burlington, VT</t>
  </si>
  <si>
    <t>Omaha-Council Bluffs-Fremont, NE-IA</t>
  </si>
  <si>
    <t>San Antonio-New Braunfels-Pearsall, TX</t>
  </si>
  <si>
    <t>Virginia Beach-Norfolk, VA-NC</t>
  </si>
  <si>
    <t>COLA/Post Diff</t>
  </si>
  <si>
    <t>Post Differential</t>
  </si>
  <si>
    <t>Executive Order</t>
  </si>
  <si>
    <t>Corpus Christi-Kingsville-Alice, TX</t>
  </si>
  <si>
    <t>The following sections will provide the information necessary to change or update the above settings</t>
  </si>
  <si>
    <r>
      <t xml:space="preserve">NSPS PAY RETENTION &amp; SPECIAL PAY RATES:  </t>
    </r>
    <r>
      <rPr>
        <i/>
        <sz val="12"/>
        <color theme="0"/>
        <rFont val="Calibri"/>
        <family val="2"/>
        <scheme val="minor"/>
      </rPr>
      <t xml:space="preserve">A separate spreadsheet is available for firefighters who have pay retention after NSPS or earn a special rate base pay.  This sheet allows users to manually enter their appropriate base pay.  To enter your salary, first complete any applicable changes below, then select "Pay Retention &amp; Special Rates" for additional information.  </t>
    </r>
  </si>
  <si>
    <r>
      <t xml:space="preserve">Non-foreign Area Cost-of-Living Allowances:  </t>
    </r>
    <r>
      <rPr>
        <i/>
        <sz val="12"/>
        <color theme="0"/>
        <rFont val="Calibri"/>
        <family val="2"/>
        <scheme val="minor"/>
      </rPr>
      <t>The Non-Foreign Area Retirement Equity Assurance Act of 2009 changed non-foreign areas such as Alaska, Hawaii, and the United States territories, e.g. Puerto Rico, Guam, U.S. Virgin Islands, etc. to Locality Pay.  COLA will slowly be phased out as the individual Locality rates increase.</t>
    </r>
  </si>
  <si>
    <r>
      <t xml:space="preserve">COLA vs. Post Differential:  </t>
    </r>
    <r>
      <rPr>
        <sz val="12"/>
        <color theme="0"/>
        <rFont val="Calibri"/>
        <family val="2"/>
        <scheme val="minor"/>
      </rPr>
      <t>Some areas receive a Post Differential rather than a COLA, and it may be possible to receive both.  When both rates apply, this program combines the two under one COLA rate, which is capped at 25%.  If your actual rate(s) differs, you may manually enter the correct rate below.</t>
    </r>
  </si>
  <si>
    <r>
      <t xml:space="preserve">Changing Locality and/or COLA Rates: </t>
    </r>
    <r>
      <rPr>
        <i/>
        <sz val="12"/>
        <color theme="0"/>
        <rFont val="Calibri"/>
        <family val="2"/>
        <scheme val="minor"/>
      </rPr>
      <t>Click on the tab below to select from the list of all the locality areas.  If you are unsure of your locality area, contact your payroll adviser for assistance.  Once this information has been changed, the pay charts will automatically reflect the correct locality rates.  If your actual rate(s) differs, you may manually enter the correct rate below.</t>
    </r>
  </si>
  <si>
    <t>Locality/COLA:</t>
  </si>
  <si>
    <r>
      <t>ANNUAL RAISES:</t>
    </r>
    <r>
      <rPr>
        <i/>
        <sz val="12"/>
        <color theme="0"/>
        <rFont val="Calibri"/>
        <family val="2"/>
        <scheme val="minor"/>
      </rPr>
      <t xml:space="preserve">  You can estimate future salaries in this section by entering annual raises in the blocks below.  Enter the combined rate for both the General Increase and the Locality increase.  </t>
    </r>
    <r>
      <rPr>
        <b/>
        <i/>
        <sz val="12"/>
        <color theme="0"/>
        <rFont val="Calibri"/>
        <family val="2"/>
        <scheme val="minor"/>
      </rPr>
      <t xml:space="preserve">Please Note: </t>
    </r>
    <r>
      <rPr>
        <i/>
        <sz val="12"/>
        <color theme="0"/>
        <rFont val="Calibri"/>
        <family val="2"/>
        <scheme val="minor"/>
      </rPr>
      <t>The size of the raises will vary based on locality area.  OPM will post all the combined rates.  Updated programs should become available as official raises are approved.</t>
    </r>
  </si>
  <si>
    <r>
      <t>SAVING YOUR CHANGES:</t>
    </r>
    <r>
      <rPr>
        <i/>
        <sz val="12"/>
        <color theme="0"/>
        <rFont val="Calibri"/>
        <family val="2"/>
        <scheme val="minor"/>
      </rPr>
      <t xml:space="preserve">  If you are making temporary changes only, do not click save when you are done.  When you exit, click "NO" when it asks you if you want to save the changes.  This way the file will revert back to the original settings.  If your changes are permanent, I recommend using the "SAVE AS" feature and then giving the new file a different name, such as the locality area.  Again, this will preserve the original file in case there is a problem with the new one.  It is always nice to have the original to fall back on.</t>
    </r>
  </si>
  <si>
    <r>
      <t>FILE SPREADSHEETS:</t>
    </r>
    <r>
      <rPr>
        <i/>
        <sz val="12"/>
        <color theme="0"/>
        <rFont val="Calibri"/>
        <family val="2"/>
        <scheme val="minor"/>
      </rPr>
      <t xml:space="preserve">  Once you have made any necessary adjustments, you can proceed to the pay charts.  There are five spreadsheets altogether, the first being this "Start Page."  The others are labeled "Pay Retention &amp; Special Rates", "GS Pay Scale", "Shift Firefighters", "Chief, Training, Inspectors."  To view a chart, click on the appropriate tab located along the bottom of the screen.  Once you have the chart you want and have verified the settings are correct, you can print several hardcopies to hand out.  If you need to make further changes, just return to the "Start Page" to enter the new settings.</t>
    </r>
  </si>
  <si>
    <t>COLA Rates</t>
  </si>
  <si>
    <t>Manual Locality and COLA Rate Data Entry</t>
  </si>
  <si>
    <t>Developed by:</t>
  </si>
  <si>
    <t>Anthony J Fanchi</t>
  </si>
  <si>
    <t>Pay &amp; Retirement Consultant</t>
  </si>
  <si>
    <t>WIKKMO, LLC</t>
  </si>
  <si>
    <t>P.O. Box 1090</t>
  </si>
  <si>
    <t>Byron, GA  31008</t>
  </si>
  <si>
    <t>contact@wikkmo.com</t>
  </si>
  <si>
    <r>
      <t>WORK SCHEDULE:</t>
    </r>
    <r>
      <rPr>
        <i/>
        <sz val="12"/>
        <color theme="0"/>
        <rFont val="Calibri"/>
        <family val="2"/>
        <scheme val="minor"/>
      </rPr>
      <t xml:space="preserve">  There are two main firefighter pay charts--one for 24 hour shift firefighters, and one for the firefighters who work Monday - Friday and usually stay one night a week (Fire Chief, Fire Inspectors, etc.).  There are three main hourly schedules--72 hours a week, 60 hours, and 56 hours.  There are also a few Firefighters who work 84 hours a week (168 / pay period) or 53 hours a week (106 / pay period).  Firefighters working less than 53 hours a week are not covered by these charts.  To change an hourly schedule, click on the appropriate space below and select the new hours.</t>
    </r>
  </si>
  <si>
    <t>Monday - Friday:</t>
  </si>
  <si>
    <t>admin@fedfirepay.com</t>
  </si>
  <si>
    <t>Des Moines-Ames-West Des Moines, IA</t>
  </si>
  <si>
    <t>Please note there is no change to Locality Rates for 2021.</t>
  </si>
  <si>
    <t>Locality Rates are available in Schedule 9 of the 2020 Executive Order:</t>
  </si>
  <si>
    <t>(478) 396-4322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</si>
</sst>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
  </numFmts>
  <fonts count="65" x14ac:knownFonts="1">
    <font>
      <sz val="10"/>
      <name val="Arial"/>
    </font>
    <font>
      <sz val="10"/>
      <name val="Arial"/>
      <family val="2"/>
    </font>
    <font>
      <b/>
      <sz val="10"/>
      <name val="Arial"/>
      <family val="2"/>
    </font>
    <font>
      <sz val="5"/>
      <name val="Arial"/>
      <family val="2"/>
    </font>
    <font>
      <sz val="10"/>
      <name val="Arial"/>
      <family val="2"/>
    </font>
    <font>
      <sz val="9.9"/>
      <name val="Arial"/>
      <family val="2"/>
    </font>
    <font>
      <b/>
      <sz val="9.9"/>
      <name val="Arial"/>
      <family val="2"/>
    </font>
    <font>
      <b/>
      <i/>
      <sz val="9.9"/>
      <name val="Arial"/>
      <family val="2"/>
    </font>
    <font>
      <b/>
      <i/>
      <sz val="10"/>
      <name val="Arial"/>
      <family val="2"/>
    </font>
    <font>
      <i/>
      <sz val="10"/>
      <name val="Arial"/>
      <family val="2"/>
    </font>
    <font>
      <sz val="7"/>
      <name val="Arial"/>
      <family val="2"/>
    </font>
    <font>
      <u/>
      <sz val="10"/>
      <color indexed="12"/>
      <name val="Arial"/>
      <family val="2"/>
    </font>
    <font>
      <u/>
      <sz val="10"/>
      <name val="Arial"/>
      <family val="2"/>
    </font>
    <font>
      <b/>
      <sz val="20"/>
      <name val="Arial"/>
      <family val="2"/>
    </font>
    <font>
      <b/>
      <sz val="15"/>
      <name val="Arial"/>
      <family val="2"/>
    </font>
    <font>
      <b/>
      <u/>
      <sz val="10"/>
      <name val="Arial"/>
      <family val="2"/>
    </font>
    <font>
      <b/>
      <sz val="13.5"/>
      <name val="Arial"/>
      <family val="2"/>
    </font>
    <font>
      <sz val="10"/>
      <color indexed="8"/>
      <name val="Arial"/>
      <family val="2"/>
    </font>
    <font>
      <sz val="8"/>
      <name val="Arial"/>
      <family val="2"/>
    </font>
    <font>
      <b/>
      <sz val="10"/>
      <color indexed="10"/>
      <name val="Arial"/>
      <family val="2"/>
    </font>
    <font>
      <b/>
      <u/>
      <sz val="8"/>
      <color indexed="81"/>
      <name val="Tahoma"/>
      <family val="2"/>
    </font>
    <font>
      <b/>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20"/>
      <name val="Arial"/>
      <family val="2"/>
    </font>
    <font>
      <b/>
      <i/>
      <sz val="14"/>
      <color indexed="10"/>
      <name val="Arial"/>
      <family val="2"/>
    </font>
    <font>
      <b/>
      <sz val="24"/>
      <color theme="0"/>
      <name val="Arial"/>
      <family val="2"/>
    </font>
    <font>
      <sz val="10"/>
      <color theme="0"/>
      <name val="Arial"/>
      <family val="2"/>
    </font>
    <font>
      <u/>
      <sz val="10"/>
      <color theme="0"/>
      <name val="Arial"/>
      <family val="2"/>
    </font>
    <font>
      <b/>
      <sz val="10"/>
      <color theme="0"/>
      <name val="Arial"/>
      <family val="2"/>
    </font>
    <font>
      <b/>
      <i/>
      <u/>
      <sz val="16"/>
      <color theme="0"/>
      <name val="Cambria"/>
      <family val="1"/>
    </font>
    <font>
      <b/>
      <i/>
      <u/>
      <sz val="18"/>
      <color theme="0"/>
      <name val="Cambria"/>
      <family val="1"/>
    </font>
    <font>
      <b/>
      <u/>
      <sz val="10"/>
      <color theme="0"/>
      <name val="Arial"/>
      <family val="2"/>
    </font>
    <font>
      <sz val="24"/>
      <color rgb="FFFFFF00"/>
      <name val="Arial"/>
      <family val="2"/>
    </font>
    <font>
      <b/>
      <i/>
      <sz val="24"/>
      <color rgb="FFFFFF00"/>
      <name val="Arial"/>
      <family val="2"/>
    </font>
    <font>
      <b/>
      <i/>
      <sz val="22"/>
      <color rgb="FFFFFF00"/>
      <name val="Arial"/>
      <family val="2"/>
    </font>
    <font>
      <b/>
      <sz val="10"/>
      <color theme="1"/>
      <name val="Arial"/>
      <family val="2"/>
    </font>
    <font>
      <b/>
      <u/>
      <sz val="10"/>
      <color theme="1"/>
      <name val="Arial"/>
      <family val="2"/>
    </font>
    <font>
      <sz val="12"/>
      <color theme="0"/>
      <name val="Calibri"/>
      <family val="2"/>
      <scheme val="minor"/>
    </font>
    <font>
      <i/>
      <sz val="12"/>
      <color theme="0"/>
      <name val="Calibri"/>
      <family val="2"/>
      <scheme val="minor"/>
    </font>
    <font>
      <b/>
      <i/>
      <sz val="12"/>
      <color rgb="FFFFFF00"/>
      <name val="Arial"/>
      <family val="2"/>
    </font>
    <font>
      <b/>
      <sz val="12"/>
      <color theme="0"/>
      <name val="Calibri"/>
      <family val="2"/>
      <scheme val="minor"/>
    </font>
    <font>
      <b/>
      <i/>
      <sz val="12"/>
      <color theme="0"/>
      <name val="Calibri"/>
      <family val="2"/>
      <scheme val="minor"/>
    </font>
    <font>
      <b/>
      <i/>
      <sz val="12"/>
      <color rgb="FFFFFF00"/>
      <name val="Calibri"/>
      <family val="2"/>
      <scheme val="minor"/>
    </font>
    <font>
      <b/>
      <u/>
      <sz val="10"/>
      <color rgb="FFFFFF00"/>
      <name val="Arial"/>
      <family val="2"/>
    </font>
    <font>
      <b/>
      <i/>
      <sz val="12"/>
      <color rgb="FFFF0000"/>
      <name val="Calibri"/>
      <family val="2"/>
      <scheme val="minor"/>
    </font>
    <font>
      <b/>
      <i/>
      <sz val="12"/>
      <color theme="1"/>
      <name val="Calibri"/>
      <family val="2"/>
      <scheme val="minor"/>
    </font>
    <font>
      <b/>
      <i/>
      <sz val="12"/>
      <color rgb="FFFFFFFF"/>
      <name val="Calibri"/>
      <family val="2"/>
      <scheme val="minor"/>
    </font>
    <font>
      <b/>
      <i/>
      <u/>
      <sz val="12"/>
      <color indexed="12"/>
      <name val="Calibri"/>
      <family val="2"/>
      <scheme val="minor"/>
    </font>
    <font>
      <b/>
      <i/>
      <u/>
      <sz val="16"/>
      <color indexed="12"/>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theme="1"/>
      </left>
      <right style="thin">
        <color theme="1"/>
      </right>
      <top style="thin">
        <color theme="1"/>
      </top>
      <bottom style="thin">
        <color theme="1"/>
      </bottom>
      <diagonal/>
    </border>
  </borders>
  <cellStyleXfs count="45">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44" fontId="1"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1"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4" fillId="23" borderId="7" applyNumberFormat="0" applyFont="0" applyAlignment="0" applyProtection="0"/>
    <xf numFmtId="0" fontId="35" fillId="20" borderId="8" applyNumberFormat="0" applyAlignment="0" applyProtection="0"/>
    <xf numFmtId="9" fontId="1" fillId="0" borderId="0" applyFon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cellStyleXfs>
  <cellXfs count="184">
    <xf numFmtId="0" fontId="0" fillId="0" borderId="0" xfId="0"/>
    <xf numFmtId="0" fontId="4" fillId="0" borderId="0" xfId="0" applyFont="1"/>
    <xf numFmtId="0" fontId="9" fillId="0" borderId="11" xfId="0" applyFont="1" applyBorder="1" applyAlignment="1">
      <alignment horizontal="center" wrapText="1"/>
    </xf>
    <xf numFmtId="0" fontId="9" fillId="0" borderId="12" xfId="0" applyFont="1" applyBorder="1" applyAlignment="1">
      <alignment horizontal="center" wrapText="1"/>
    </xf>
    <xf numFmtId="0" fontId="4" fillId="0" borderId="11" xfId="0" applyFont="1" applyBorder="1" applyAlignment="1">
      <alignment horizontal="center" wrapText="1"/>
    </xf>
    <xf numFmtId="10" fontId="4" fillId="0" borderId="0" xfId="0" applyNumberFormat="1" applyFont="1" applyAlignment="1">
      <alignment horizontal="center"/>
    </xf>
    <xf numFmtId="0" fontId="9" fillId="0" borderId="10" xfId="0" applyFont="1" applyBorder="1" applyAlignment="1">
      <alignment horizontal="center" wrapText="1"/>
    </xf>
    <xf numFmtId="0" fontId="0" fillId="0" borderId="0" xfId="0" applyAlignment="1">
      <alignment horizontal="center"/>
    </xf>
    <xf numFmtId="0" fontId="2" fillId="0" borderId="0" xfId="0" applyFont="1" applyAlignment="1">
      <alignment horizontal="left"/>
    </xf>
    <xf numFmtId="0" fontId="12" fillId="0" borderId="0" xfId="0" applyFont="1" applyAlignment="1">
      <alignment horizontal="center"/>
    </xf>
    <xf numFmtId="0" fontId="4" fillId="0" borderId="17" xfId="0" applyFont="1" applyBorder="1" applyAlignment="1">
      <alignment horizontal="center" wrapText="1"/>
    </xf>
    <xf numFmtId="0" fontId="4" fillId="0" borderId="0" xfId="0" applyFont="1" applyAlignment="1">
      <alignment horizontal="center"/>
    </xf>
    <xf numFmtId="0" fontId="9" fillId="0" borderId="17" xfId="0" applyFont="1" applyBorder="1" applyAlignment="1">
      <alignment horizontal="center" wrapText="1"/>
    </xf>
    <xf numFmtId="0" fontId="17" fillId="24" borderId="10" xfId="0" applyFont="1" applyFill="1" applyBorder="1" applyAlignment="1">
      <alignment horizontal="center" wrapText="1"/>
    </xf>
    <xf numFmtId="3" fontId="17" fillId="24" borderId="10" xfId="0" applyNumberFormat="1" applyFont="1" applyFill="1" applyBorder="1" applyAlignment="1">
      <alignment horizontal="center" wrapText="1"/>
    </xf>
    <xf numFmtId="3" fontId="4" fillId="0" borderId="10" xfId="0" applyNumberFormat="1" applyFont="1" applyBorder="1" applyAlignment="1">
      <alignment horizontal="center"/>
    </xf>
    <xf numFmtId="0" fontId="17" fillId="0" borderId="10" xfId="0" applyFont="1" applyBorder="1" applyAlignment="1">
      <alignment horizontal="center" wrapText="1"/>
    </xf>
    <xf numFmtId="3" fontId="17" fillId="0" borderId="10" xfId="0" applyNumberFormat="1" applyFont="1" applyBorder="1" applyAlignment="1">
      <alignment horizontal="center" wrapText="1"/>
    </xf>
    <xf numFmtId="0" fontId="17" fillId="24" borderId="14" xfId="0" applyFont="1" applyFill="1" applyBorder="1" applyAlignment="1">
      <alignment horizontal="center" wrapText="1"/>
    </xf>
    <xf numFmtId="0" fontId="17" fillId="24" borderId="17" xfId="0" applyFont="1" applyFill="1" applyBorder="1" applyAlignment="1">
      <alignment horizontal="center" wrapText="1"/>
    </xf>
    <xf numFmtId="3" fontId="17" fillId="24" borderId="18" xfId="0" applyNumberFormat="1" applyFont="1" applyFill="1" applyBorder="1" applyAlignment="1">
      <alignment horizontal="center" wrapText="1"/>
    </xf>
    <xf numFmtId="3" fontId="17" fillId="24" borderId="19" xfId="0" applyNumberFormat="1" applyFont="1" applyFill="1" applyBorder="1" applyAlignment="1">
      <alignment horizontal="center" wrapText="1"/>
    </xf>
    <xf numFmtId="1" fontId="17" fillId="24" borderId="10" xfId="0" applyNumberFormat="1" applyFont="1" applyFill="1" applyBorder="1" applyAlignment="1">
      <alignment horizontal="center" wrapText="1"/>
    </xf>
    <xf numFmtId="10" fontId="4" fillId="0" borderId="10" xfId="0" applyNumberFormat="1" applyFont="1" applyBorder="1" applyAlignment="1">
      <alignment horizontal="center"/>
    </xf>
    <xf numFmtId="1" fontId="17" fillId="0" borderId="10" xfId="0" applyNumberFormat="1" applyFont="1" applyBorder="1" applyAlignment="1">
      <alignment horizontal="center" wrapText="1"/>
    </xf>
    <xf numFmtId="3" fontId="0" fillId="0" borderId="10" xfId="0" applyNumberFormat="1" applyBorder="1" applyAlignment="1">
      <alignment horizontal="center" wrapText="1"/>
    </xf>
    <xf numFmtId="3" fontId="0" fillId="0" borderId="10" xfId="0" applyNumberFormat="1" applyBorder="1" applyAlignment="1">
      <alignment horizontal="center"/>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0" xfId="0" applyFont="1" applyBorder="1" applyAlignment="1">
      <alignment horizontal="center" vertical="center"/>
    </xf>
    <xf numFmtId="10" fontId="0" fillId="0" borderId="20" xfId="0" applyNumberFormat="1" applyBorder="1" applyAlignment="1">
      <alignment horizontal="center" vertical="center" wrapText="1"/>
    </xf>
    <xf numFmtId="10" fontId="0" fillId="0" borderId="24" xfId="0" applyNumberFormat="1" applyBorder="1" applyAlignment="1">
      <alignment horizontal="center" vertical="center" wrapText="1"/>
    </xf>
    <xf numFmtId="0" fontId="0" fillId="0" borderId="0" xfId="0" applyAlignment="1">
      <alignment horizontal="center" vertical="center"/>
    </xf>
    <xf numFmtId="0" fontId="4"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20" xfId="0" applyBorder="1" applyAlignment="1">
      <alignment horizontal="center" vertical="center" wrapText="1"/>
    </xf>
    <xf numFmtId="0" fontId="11" fillId="0" borderId="0" xfId="35" applyAlignment="1" applyProtection="1">
      <alignment horizontal="center" vertical="center"/>
    </xf>
    <xf numFmtId="0" fontId="42" fillId="0" borderId="0" xfId="0" applyFont="1" applyAlignment="1" applyProtection="1">
      <alignment horizontal="center" vertical="center"/>
      <protection hidden="1"/>
    </xf>
    <xf numFmtId="0" fontId="1" fillId="0" borderId="10" xfId="0" applyFont="1" applyBorder="1" applyAlignment="1">
      <alignment horizontal="center" wrapText="1"/>
    </xf>
    <xf numFmtId="0" fontId="41" fillId="0" borderId="0" xfId="0" applyFont="1" applyAlignment="1" applyProtection="1">
      <protection hidden="1"/>
    </xf>
    <xf numFmtId="0" fontId="42" fillId="0" borderId="0" xfId="0" applyFont="1" applyProtection="1">
      <protection hidden="1"/>
    </xf>
    <xf numFmtId="0" fontId="43" fillId="0" borderId="0" xfId="35" applyFont="1" applyAlignment="1" applyProtection="1">
      <protection hidden="1"/>
    </xf>
    <xf numFmtId="0" fontId="50" fillId="0" borderId="0" xfId="0" applyFont="1" applyAlignment="1" applyProtection="1">
      <alignment vertical="center"/>
      <protection hidden="1"/>
    </xf>
    <xf numFmtId="0" fontId="48" fillId="0" borderId="0" xfId="0" applyFont="1" applyAlignment="1" applyProtection="1">
      <alignment vertical="center"/>
      <protection hidden="1"/>
    </xf>
    <xf numFmtId="0" fontId="42" fillId="0" borderId="0" xfId="0" applyFont="1" applyAlignment="1" applyProtection="1">
      <alignment vertical="center"/>
      <protection hidden="1"/>
    </xf>
    <xf numFmtId="0" fontId="44" fillId="0" borderId="0" xfId="0" applyFont="1" applyAlignment="1" applyProtection="1">
      <alignment vertical="center"/>
      <protection hidden="1"/>
    </xf>
    <xf numFmtId="0" fontId="45" fillId="0" borderId="0" xfId="35" applyFont="1" applyFill="1" applyAlignment="1" applyProtection="1">
      <alignment vertical="center"/>
      <protection hidden="1"/>
    </xf>
    <xf numFmtId="0" fontId="46" fillId="0" borderId="0" xfId="35" applyFont="1" applyAlignment="1" applyProtection="1">
      <alignment vertical="center"/>
      <protection hidden="1"/>
    </xf>
    <xf numFmtId="0" fontId="42" fillId="0" borderId="0" xfId="0" applyFont="1" applyAlignment="1" applyProtection="1">
      <alignment vertical="center" wrapText="1"/>
      <protection hidden="1"/>
    </xf>
    <xf numFmtId="0" fontId="44" fillId="0" borderId="0" xfId="0" applyFont="1" applyAlignment="1" applyProtection="1">
      <alignment vertical="center" wrapText="1"/>
      <protection hidden="1"/>
    </xf>
    <xf numFmtId="0" fontId="53" fillId="0" borderId="0" xfId="0" applyFont="1" applyAlignment="1" applyProtection="1">
      <alignment vertical="center"/>
      <protection hidden="1"/>
    </xf>
    <xf numFmtId="0" fontId="47" fillId="0" borderId="0" xfId="0" applyFont="1" applyAlignment="1" applyProtection="1">
      <alignment vertical="center"/>
      <protection hidden="1"/>
    </xf>
    <xf numFmtId="0" fontId="57" fillId="0" borderId="0" xfId="0" applyFont="1" applyAlignment="1" applyProtection="1">
      <alignment vertical="center"/>
      <protection hidden="1"/>
    </xf>
    <xf numFmtId="0" fontId="52" fillId="25" borderId="0" xfId="0" applyFont="1" applyFill="1" applyAlignment="1" applyProtection="1">
      <alignment horizontal="center" vertical="center"/>
      <protection locked="0" hidden="1"/>
    </xf>
    <xf numFmtId="0" fontId="44" fillId="0" borderId="0" xfId="0" applyFont="1" applyAlignment="1" applyProtection="1">
      <alignment horizontal="left" vertical="center"/>
      <protection hidden="1"/>
    </xf>
    <xf numFmtId="0" fontId="42" fillId="0" borderId="0" xfId="0" applyFont="1" applyAlignment="1" applyProtection="1">
      <alignment horizontal="left" vertical="center"/>
      <protection hidden="1"/>
    </xf>
    <xf numFmtId="0" fontId="43" fillId="0" borderId="0" xfId="0" applyFont="1" applyAlignment="1" applyProtection="1">
      <alignment horizontal="center" vertical="center"/>
      <protection hidden="1"/>
    </xf>
    <xf numFmtId="0" fontId="43" fillId="0" borderId="0" xfId="0" applyFont="1" applyAlignment="1" applyProtection="1">
      <alignment horizontal="left" vertical="center"/>
      <protection hidden="1"/>
    </xf>
    <xf numFmtId="10" fontId="59" fillId="0" borderId="0" xfId="0" applyNumberFormat="1" applyFont="1" applyAlignment="1" applyProtection="1">
      <alignment horizontal="center" vertical="center"/>
      <protection hidden="1"/>
    </xf>
    <xf numFmtId="10" fontId="43" fillId="0" borderId="0" xfId="0" applyNumberFormat="1" applyFont="1" applyAlignment="1" applyProtection="1">
      <alignment horizontal="left" vertical="center"/>
      <protection hidden="1"/>
    </xf>
    <xf numFmtId="0" fontId="43" fillId="0" borderId="0" xfId="0" applyFont="1" applyAlignment="1" applyProtection="1">
      <alignment vertical="center"/>
      <protection hidden="1"/>
    </xf>
    <xf numFmtId="2" fontId="44" fillId="0" borderId="0" xfId="0" applyNumberFormat="1" applyFont="1" applyAlignment="1" applyProtection="1">
      <alignment horizontal="center" vertical="center"/>
      <protection hidden="1"/>
    </xf>
    <xf numFmtId="10" fontId="52" fillId="25" borderId="0" xfId="0" applyNumberFormat="1" applyFont="1" applyFill="1" applyAlignment="1" applyProtection="1">
      <alignment horizontal="center" vertical="center"/>
      <protection locked="0" hidden="1"/>
    </xf>
    <xf numFmtId="10" fontId="43" fillId="0" borderId="0" xfId="0" applyNumberFormat="1" applyFont="1" applyAlignment="1" applyProtection="1">
      <alignment horizontal="center" vertical="center"/>
      <protection hidden="1"/>
    </xf>
    <xf numFmtId="0" fontId="44" fillId="0" borderId="0" xfId="0" applyFont="1" applyAlignment="1" applyProtection="1">
      <alignment horizontal="left" vertical="center" wrapText="1"/>
      <protection hidden="1"/>
    </xf>
    <xf numFmtId="10" fontId="42" fillId="0" borderId="0" xfId="0" applyNumberFormat="1" applyFont="1" applyAlignment="1" applyProtection="1">
      <alignment horizontal="left" vertical="center"/>
      <protection hidden="1"/>
    </xf>
    <xf numFmtId="0" fontId="61" fillId="26" borderId="25" xfId="0" applyFont="1" applyFill="1" applyBorder="1" applyAlignment="1" applyProtection="1">
      <alignment horizontal="center" vertical="center"/>
      <protection hidden="1"/>
    </xf>
    <xf numFmtId="0" fontId="44" fillId="0" borderId="0" xfId="0" applyFont="1" applyAlignment="1" applyProtection="1">
      <alignment horizontal="center" vertical="center"/>
      <protection hidden="1"/>
    </xf>
    <xf numFmtId="0" fontId="61" fillId="26" borderId="10" xfId="0" applyFont="1" applyFill="1" applyBorder="1" applyAlignment="1" applyProtection="1">
      <alignment horizontal="center" vertical="center"/>
      <protection hidden="1"/>
    </xf>
    <xf numFmtId="0" fontId="51" fillId="26" borderId="25" xfId="0" applyFont="1" applyFill="1" applyBorder="1" applyAlignment="1" applyProtection="1">
      <alignment horizontal="center" vertical="center"/>
      <protection hidden="1"/>
    </xf>
    <xf numFmtId="10" fontId="51" fillId="25" borderId="25" xfId="0" applyNumberFormat="1" applyFont="1" applyFill="1" applyBorder="1" applyAlignment="1" applyProtection="1">
      <alignment horizontal="center" vertical="center"/>
      <protection locked="0" hidden="1"/>
    </xf>
    <xf numFmtId="10" fontId="44" fillId="0" borderId="0" xfId="41" applyNumberFormat="1" applyFont="1" applyAlignment="1" applyProtection="1">
      <alignment horizontal="left" vertical="center"/>
      <protection hidden="1"/>
    </xf>
    <xf numFmtId="0" fontId="51" fillId="26" borderId="10" xfId="0" applyFont="1" applyFill="1" applyBorder="1" applyAlignment="1" applyProtection="1">
      <alignment horizontal="center" vertical="center"/>
      <protection hidden="1"/>
    </xf>
    <xf numFmtId="2" fontId="51" fillId="25" borderId="10" xfId="0" applyNumberFormat="1" applyFont="1" applyFill="1" applyBorder="1" applyAlignment="1" applyProtection="1">
      <alignment horizontal="center" vertical="center"/>
      <protection hidden="1"/>
    </xf>
    <xf numFmtId="2" fontId="42" fillId="0" borderId="0" xfId="0" applyNumberFormat="1" applyFont="1" applyAlignment="1" applyProtection="1">
      <alignment horizontal="center" vertical="center"/>
      <protection hidden="1"/>
    </xf>
    <xf numFmtId="0" fontId="43" fillId="0" borderId="0" xfId="0" applyFont="1" applyAlignment="1" applyProtection="1">
      <alignment horizontal="center"/>
      <protection hidden="1"/>
    </xf>
    <xf numFmtId="0" fontId="42" fillId="0" borderId="0" xfId="0" applyFont="1" applyAlignment="1" applyProtection="1">
      <alignment horizontal="left"/>
      <protection hidden="1"/>
    </xf>
    <xf numFmtId="0" fontId="58" fillId="0" borderId="0" xfId="0" applyFont="1" applyAlignment="1" applyProtection="1">
      <alignment vertical="center"/>
      <protection hidden="1"/>
    </xf>
    <xf numFmtId="0" fontId="57" fillId="0" borderId="0" xfId="0" applyFont="1" applyAlignment="1" applyProtection="1">
      <alignment horizontal="left" vertical="center"/>
      <protection hidden="1"/>
    </xf>
    <xf numFmtId="0" fontId="58" fillId="0" borderId="0" xfId="0" applyFont="1" applyAlignment="1" applyProtection="1">
      <alignment horizontal="left" vertical="center"/>
      <protection hidden="1"/>
    </xf>
    <xf numFmtId="0" fontId="62" fillId="0" borderId="0" xfId="0" applyFont="1" applyAlignment="1" applyProtection="1">
      <alignment vertical="center"/>
      <protection hidden="1"/>
    </xf>
    <xf numFmtId="0" fontId="0" fillId="0" borderId="0" xfId="0" applyProtection="1">
      <protection hidden="1"/>
    </xf>
    <xf numFmtId="0" fontId="39" fillId="0" borderId="0" xfId="0" applyFont="1" applyAlignment="1" applyProtection="1">
      <alignment horizontal="center"/>
      <protection hidden="1"/>
    </xf>
    <xf numFmtId="0" fontId="11" fillId="0" borderId="0" xfId="35" applyAlignment="1" applyProtection="1">
      <protection hidden="1"/>
    </xf>
    <xf numFmtId="0" fontId="4" fillId="0" borderId="0" xfId="0" applyFont="1" applyProtection="1">
      <protection hidden="1"/>
    </xf>
    <xf numFmtId="0" fontId="11" fillId="0" borderId="0" xfId="35" applyAlignment="1" applyProtection="1">
      <alignment horizontal="center"/>
      <protection hidden="1"/>
    </xf>
    <xf numFmtId="0" fontId="14" fillId="0" borderId="0" xfId="0" applyFont="1" applyAlignment="1" applyProtection="1">
      <alignment horizontal="right"/>
      <protection hidden="1"/>
    </xf>
    <xf numFmtId="0" fontId="14" fillId="0" borderId="0" xfId="0" applyFont="1" applyAlignment="1" applyProtection="1">
      <alignment horizontal="left"/>
      <protection hidden="1"/>
    </xf>
    <xf numFmtId="10" fontId="4" fillId="0" borderId="0" xfId="41" applyNumberFormat="1" applyFont="1" applyAlignment="1" applyProtection="1">
      <alignment horizontal="center"/>
      <protection hidden="1"/>
    </xf>
    <xf numFmtId="0" fontId="2" fillId="0" borderId="0" xfId="0" applyFont="1" applyAlignment="1" applyProtection="1">
      <alignment horizontal="center"/>
      <protection hidden="1"/>
    </xf>
    <xf numFmtId="0" fontId="15" fillId="0" borderId="0" xfId="0" applyFont="1" applyAlignment="1" applyProtection="1">
      <alignment horizontal="center"/>
      <protection hidden="1"/>
    </xf>
    <xf numFmtId="0" fontId="8" fillId="0" borderId="0" xfId="0" applyFont="1" applyProtection="1">
      <protection hidden="1"/>
    </xf>
    <xf numFmtId="0" fontId="2" fillId="0" borderId="0" xfId="0" applyFont="1" applyAlignment="1" applyProtection="1">
      <alignment wrapText="1"/>
      <protection hidden="1"/>
    </xf>
    <xf numFmtId="0" fontId="2" fillId="0" borderId="0" xfId="0" applyFont="1" applyProtection="1">
      <protection hidden="1"/>
    </xf>
    <xf numFmtId="164" fontId="4" fillId="24" borderId="0" xfId="0" applyNumberFormat="1" applyFont="1" applyFill="1" applyAlignment="1" applyProtection="1">
      <alignment horizontal="center"/>
      <protection locked="0" hidden="1"/>
    </xf>
    <xf numFmtId="0" fontId="2" fillId="0" borderId="0" xfId="0" applyFont="1" applyAlignment="1" applyProtection="1">
      <alignment horizontal="left"/>
      <protection hidden="1"/>
    </xf>
    <xf numFmtId="0" fontId="2" fillId="0" borderId="10" xfId="0" applyFont="1" applyBorder="1" applyAlignment="1" applyProtection="1">
      <alignment horizontal="center"/>
      <protection hidden="1"/>
    </xf>
    <xf numFmtId="0" fontId="2" fillId="0" borderId="14" xfId="0" applyFont="1" applyBorder="1" applyAlignment="1" applyProtection="1">
      <alignment horizontal="center"/>
      <protection hidden="1"/>
    </xf>
    <xf numFmtId="0" fontId="2" fillId="0" borderId="13" xfId="0" applyFont="1" applyBorder="1" applyAlignment="1" applyProtection="1">
      <alignment horizontal="center"/>
      <protection hidden="1"/>
    </xf>
    <xf numFmtId="0" fontId="0" fillId="0" borderId="22" xfId="0" applyBorder="1" applyProtection="1">
      <protection hidden="1"/>
    </xf>
    <xf numFmtId="44" fontId="4" fillId="0" borderId="14" xfId="28" applyFont="1" applyBorder="1" applyAlignment="1" applyProtection="1">
      <alignment horizontal="left"/>
      <protection hidden="1"/>
    </xf>
    <xf numFmtId="0" fontId="0" fillId="0" borderId="15" xfId="0" applyBorder="1" applyProtection="1">
      <protection hidden="1"/>
    </xf>
    <xf numFmtId="44" fontId="5" fillId="0" borderId="13" xfId="28" applyFont="1" applyBorder="1" applyAlignment="1" applyProtection="1">
      <alignment horizontal="left"/>
      <protection hidden="1"/>
    </xf>
    <xf numFmtId="0" fontId="4" fillId="0" borderId="13" xfId="0" applyFont="1" applyBorder="1" applyProtection="1">
      <protection hidden="1"/>
    </xf>
    <xf numFmtId="44" fontId="0" fillId="0" borderId="13" xfId="28" applyFont="1" applyBorder="1" applyAlignment="1" applyProtection="1">
      <alignment horizontal="left"/>
      <protection hidden="1"/>
    </xf>
    <xf numFmtId="44" fontId="4" fillId="0" borderId="13" xfId="28" applyFont="1" applyBorder="1" applyAlignment="1" applyProtection="1">
      <alignment horizontal="left"/>
      <protection hidden="1"/>
    </xf>
    <xf numFmtId="0" fontId="2" fillId="0" borderId="15" xfId="0" applyFont="1" applyBorder="1" applyAlignment="1" applyProtection="1">
      <alignment horizontal="center"/>
      <protection hidden="1"/>
    </xf>
    <xf numFmtId="0" fontId="0" fillId="0" borderId="13" xfId="0" applyBorder="1" applyProtection="1">
      <protection hidden="1"/>
    </xf>
    <xf numFmtId="0" fontId="4" fillId="0" borderId="13" xfId="0" applyFont="1" applyBorder="1" applyAlignment="1" applyProtection="1">
      <alignment horizontal="center"/>
      <protection hidden="1"/>
    </xf>
    <xf numFmtId="0" fontId="4" fillId="0" borderId="15" xfId="0" applyFont="1" applyBorder="1" applyProtection="1">
      <protection hidden="1"/>
    </xf>
    <xf numFmtId="0" fontId="2" fillId="0" borderId="15" xfId="0" applyFont="1" applyBorder="1" applyProtection="1">
      <protection hidden="1"/>
    </xf>
    <xf numFmtId="44" fontId="6" fillId="0" borderId="13" xfId="28" applyFont="1" applyBorder="1" applyAlignment="1" applyProtection="1">
      <alignment horizontal="left"/>
      <protection hidden="1"/>
    </xf>
    <xf numFmtId="0" fontId="8" fillId="0" borderId="16" xfId="0" applyFont="1" applyBorder="1" applyAlignment="1" applyProtection="1">
      <alignment horizontal="right"/>
      <protection hidden="1"/>
    </xf>
    <xf numFmtId="0" fontId="8" fillId="0" borderId="16" xfId="0" applyFont="1" applyBorder="1" applyProtection="1">
      <protection hidden="1"/>
    </xf>
    <xf numFmtId="44" fontId="7" fillId="0" borderId="11" xfId="28" applyFont="1" applyBorder="1" applyAlignment="1" applyProtection="1">
      <alignment horizontal="left"/>
      <protection hidden="1"/>
    </xf>
    <xf numFmtId="0" fontId="2" fillId="0" borderId="13" xfId="0" applyFont="1" applyBorder="1" applyProtection="1">
      <protection hidden="1"/>
    </xf>
    <xf numFmtId="44" fontId="8" fillId="0" borderId="11" xfId="28" applyFont="1" applyBorder="1" applyAlignment="1" applyProtection="1">
      <alignment horizontal="left"/>
      <protection hidden="1"/>
    </xf>
    <xf numFmtId="0" fontId="2" fillId="0" borderId="0" xfId="0" applyFont="1" applyAlignment="1" applyProtection="1">
      <alignment horizontal="right"/>
      <protection hidden="1"/>
    </xf>
    <xf numFmtId="10" fontId="2" fillId="0" borderId="0" xfId="41" applyNumberFormat="1" applyFont="1" applyAlignment="1" applyProtection="1">
      <alignment horizontal="left"/>
      <protection hidden="1"/>
    </xf>
    <xf numFmtId="0" fontId="10" fillId="0" borderId="10" xfId="0" applyFont="1" applyBorder="1" applyAlignment="1" applyProtection="1">
      <alignment wrapText="1"/>
      <protection hidden="1"/>
    </xf>
    <xf numFmtId="0" fontId="9" fillId="0" borderId="10" xfId="0" applyFont="1" applyBorder="1" applyAlignment="1" applyProtection="1">
      <alignment horizontal="right" wrapText="1"/>
      <protection hidden="1"/>
    </xf>
    <xf numFmtId="0" fontId="9" fillId="0" borderId="10" xfId="0" applyFont="1" applyBorder="1" applyAlignment="1" applyProtection="1">
      <alignment horizontal="center" wrapText="1"/>
      <protection hidden="1"/>
    </xf>
    <xf numFmtId="0" fontId="4" fillId="0" borderId="10" xfId="0" applyFont="1" applyBorder="1" applyAlignment="1" applyProtection="1">
      <alignment horizontal="center"/>
      <protection hidden="1"/>
    </xf>
    <xf numFmtId="44" fontId="4" fillId="0" borderId="10" xfId="28" applyFont="1" applyBorder="1" applyAlignment="1" applyProtection="1">
      <alignment horizontal="left"/>
      <protection hidden="1"/>
    </xf>
    <xf numFmtId="0" fontId="19" fillId="0" borderId="0" xfId="0" applyFont="1" applyProtection="1">
      <protection hidden="1"/>
    </xf>
    <xf numFmtId="0" fontId="13" fillId="0" borderId="0" xfId="0" applyFont="1" applyAlignment="1" applyProtection="1">
      <alignment horizontal="center"/>
      <protection hidden="1"/>
    </xf>
    <xf numFmtId="0" fontId="13" fillId="0" borderId="0" xfId="0" applyFont="1" applyProtection="1">
      <protection hidden="1"/>
    </xf>
    <xf numFmtId="0" fontId="0" fillId="0" borderId="21" xfId="0" applyBorder="1" applyProtection="1">
      <protection hidden="1"/>
    </xf>
    <xf numFmtId="0" fontId="0" fillId="0" borderId="14" xfId="0" applyBorder="1" applyProtection="1">
      <protection hidden="1"/>
    </xf>
    <xf numFmtId="44" fontId="5" fillId="0" borderId="14" xfId="28" applyNumberFormat="1" applyFont="1" applyBorder="1" applyAlignment="1" applyProtection="1">
      <alignment horizontal="left"/>
      <protection hidden="1"/>
    </xf>
    <xf numFmtId="44" fontId="5" fillId="0" borderId="13" xfId="28" applyNumberFormat="1" applyFont="1" applyBorder="1" applyAlignment="1" applyProtection="1">
      <alignment horizontal="left"/>
      <protection hidden="1"/>
    </xf>
    <xf numFmtId="44" fontId="6" fillId="0" borderId="13" xfId="28" applyNumberFormat="1" applyFont="1" applyBorder="1" applyAlignment="1" applyProtection="1">
      <alignment horizontal="left"/>
      <protection hidden="1"/>
    </xf>
    <xf numFmtId="44" fontId="7" fillId="0" borderId="16" xfId="28" applyNumberFormat="1" applyFont="1" applyBorder="1" applyAlignment="1" applyProtection="1">
      <alignment horizontal="left"/>
      <protection hidden="1"/>
    </xf>
    <xf numFmtId="44" fontId="7" fillId="0" borderId="11" xfId="28" applyNumberFormat="1" applyFont="1" applyBorder="1" applyAlignment="1" applyProtection="1">
      <alignment horizontal="left"/>
      <protection hidden="1"/>
    </xf>
    <xf numFmtId="0" fontId="9" fillId="0" borderId="0" xfId="0" applyFont="1" applyProtection="1">
      <protection hidden="1"/>
    </xf>
    <xf numFmtId="44" fontId="5" fillId="0" borderId="14" xfId="28" applyFont="1" applyBorder="1" applyAlignment="1" applyProtection="1">
      <alignment horizontal="left"/>
      <protection hidden="1"/>
    </xf>
    <xf numFmtId="44" fontId="7" fillId="0" borderId="16" xfId="28" applyFont="1" applyBorder="1" applyAlignment="1" applyProtection="1">
      <alignment horizontal="left"/>
      <protection hidden="1"/>
    </xf>
    <xf numFmtId="7" fontId="2" fillId="0" borderId="0" xfId="28" applyNumberFormat="1" applyFont="1" applyAlignment="1" applyProtection="1">
      <alignment horizontal="left"/>
      <protection hidden="1"/>
    </xf>
    <xf numFmtId="44" fontId="2" fillId="0" borderId="13" xfId="28" applyFont="1" applyBorder="1" applyAlignment="1" applyProtection="1">
      <alignment horizontal="left"/>
      <protection hidden="1"/>
    </xf>
    <xf numFmtId="44" fontId="8" fillId="0" borderId="16" xfId="28" applyFont="1" applyBorder="1" applyAlignment="1" applyProtection="1">
      <alignment horizontal="left"/>
      <protection hidden="1"/>
    </xf>
    <xf numFmtId="44" fontId="0" fillId="0" borderId="14" xfId="28" applyFont="1" applyBorder="1" applyAlignment="1" applyProtection="1">
      <alignment horizontal="left"/>
      <protection hidden="1"/>
    </xf>
    <xf numFmtId="44" fontId="8" fillId="0" borderId="10" xfId="28" applyFont="1" applyBorder="1" applyAlignment="1" applyProtection="1">
      <alignment horizontal="left"/>
      <protection hidden="1"/>
    </xf>
    <xf numFmtId="0" fontId="3" fillId="0" borderId="0" xfId="0" applyFont="1" applyAlignment="1" applyProtection="1">
      <alignment horizontal="right"/>
      <protection hidden="1"/>
    </xf>
    <xf numFmtId="0" fontId="55" fillId="0" borderId="0" xfId="0" applyFont="1" applyAlignment="1" applyProtection="1">
      <alignment horizontal="center" vertical="center" wrapText="1"/>
      <protection hidden="1"/>
    </xf>
    <xf numFmtId="0" fontId="57" fillId="0" borderId="0" xfId="0" applyFont="1" applyAlignment="1" applyProtection="1">
      <alignment vertical="center" wrapText="1"/>
      <protection hidden="1"/>
    </xf>
    <xf numFmtId="0" fontId="64" fillId="0" borderId="0" xfId="35" applyFont="1" applyFill="1" applyAlignment="1" applyProtection="1">
      <alignment horizontal="center" vertical="center"/>
      <protection hidden="1"/>
    </xf>
    <xf numFmtId="0" fontId="49" fillId="0" borderId="0" xfId="0" applyFont="1" applyAlignment="1" applyProtection="1">
      <alignment horizontal="center" vertical="center"/>
      <protection hidden="1"/>
    </xf>
    <xf numFmtId="0" fontId="57" fillId="0" borderId="0" xfId="0" applyFont="1" applyAlignment="1" applyProtection="1">
      <alignment horizontal="left" vertical="center" wrapText="1"/>
      <protection hidden="1"/>
    </xf>
    <xf numFmtId="0" fontId="43" fillId="0" borderId="0" xfId="35" quotePrefix="1" applyFont="1" applyAlignment="1" applyProtection="1">
      <alignment horizontal="center" vertical="center"/>
      <protection hidden="1"/>
    </xf>
    <xf numFmtId="0" fontId="57" fillId="0" borderId="0" xfId="0" applyFont="1" applyAlignment="1" applyProtection="1">
      <alignment horizontal="center" vertical="center" wrapText="1"/>
      <protection hidden="1"/>
    </xf>
    <xf numFmtId="0" fontId="58" fillId="0" borderId="0" xfId="0" applyFont="1" applyAlignment="1" applyProtection="1">
      <alignment horizontal="left" vertical="center" wrapText="1"/>
      <protection hidden="1"/>
    </xf>
    <xf numFmtId="0" fontId="52" fillId="25" borderId="0" xfId="0" applyFont="1" applyFill="1" applyAlignment="1" applyProtection="1">
      <alignment horizontal="center" vertical="center"/>
      <protection locked="0" hidden="1"/>
    </xf>
    <xf numFmtId="0" fontId="54" fillId="0" borderId="0" xfId="0" applyFont="1" applyAlignment="1" applyProtection="1">
      <alignment horizontal="center" vertical="center" wrapText="1"/>
      <protection hidden="1"/>
    </xf>
    <xf numFmtId="0" fontId="57" fillId="0" borderId="0" xfId="0" applyFont="1" applyAlignment="1" applyProtection="1">
      <alignment vertical="center"/>
      <protection hidden="1"/>
    </xf>
    <xf numFmtId="0" fontId="64" fillId="0" borderId="0" xfId="35" applyFont="1" applyAlignment="1" applyProtection="1">
      <alignment horizontal="center" vertical="center"/>
      <protection hidden="1"/>
    </xf>
    <xf numFmtId="0" fontId="63" fillId="0" borderId="0" xfId="35" applyFont="1" applyAlignment="1" applyProtection="1">
      <alignment horizontal="left" vertical="center"/>
      <protection hidden="1"/>
    </xf>
    <xf numFmtId="0" fontId="54" fillId="0" borderId="0" xfId="0" applyFont="1" applyAlignment="1" applyProtection="1">
      <alignment vertical="center" wrapText="1"/>
      <protection hidden="1"/>
    </xf>
    <xf numFmtId="0" fontId="56" fillId="0" borderId="0" xfId="0" applyFont="1" applyAlignment="1" applyProtection="1">
      <alignment horizontal="left" vertical="center"/>
      <protection hidden="1"/>
    </xf>
    <xf numFmtId="0" fontId="54" fillId="0" borderId="0" xfId="0" applyFont="1" applyAlignment="1" applyProtection="1">
      <alignment horizontal="left" vertical="center" wrapText="1"/>
      <protection hidden="1"/>
    </xf>
    <xf numFmtId="0" fontId="60" fillId="0" borderId="0" xfId="0" applyFont="1" applyAlignment="1" applyProtection="1">
      <alignment horizontal="center" vertical="center" wrapText="1"/>
      <protection hidden="1"/>
    </xf>
    <xf numFmtId="0" fontId="57" fillId="0" borderId="0" xfId="0" applyFont="1" applyAlignment="1" applyProtection="1">
      <alignment horizontal="center" vertical="center"/>
      <protection hidden="1"/>
    </xf>
    <xf numFmtId="0" fontId="58" fillId="0" borderId="0" xfId="0" applyFont="1" applyBorder="1" applyAlignment="1" applyProtection="1">
      <alignment horizontal="center" vertical="center"/>
      <protection hidden="1"/>
    </xf>
    <xf numFmtId="0" fontId="58" fillId="0" borderId="0" xfId="0" applyFont="1" applyAlignment="1" applyProtection="1">
      <alignment horizontal="center" vertical="center" wrapText="1"/>
      <protection hidden="1"/>
    </xf>
    <xf numFmtId="0" fontId="56" fillId="0" borderId="0" xfId="0" applyFont="1" applyAlignment="1" applyProtection="1">
      <alignment vertical="center" wrapText="1"/>
      <protection hidden="1"/>
    </xf>
    <xf numFmtId="0" fontId="4" fillId="0" borderId="15" xfId="0" applyFont="1" applyBorder="1" applyAlignment="1">
      <alignment horizontal="center" wrapText="1"/>
    </xf>
    <xf numFmtId="0" fontId="4" fillId="0" borderId="0" xfId="0" applyFont="1" applyAlignment="1">
      <alignment horizontal="center"/>
    </xf>
    <xf numFmtId="0" fontId="4" fillId="0" borderId="17" xfId="0" applyFont="1" applyBorder="1" applyAlignment="1">
      <alignment horizontal="center" wrapText="1"/>
    </xf>
    <xf numFmtId="0" fontId="4" fillId="0" borderId="18" xfId="0" applyFont="1" applyBorder="1" applyAlignment="1">
      <alignment horizontal="center"/>
    </xf>
    <xf numFmtId="0" fontId="4" fillId="0" borderId="19" xfId="0" applyFont="1" applyBorder="1" applyAlignment="1">
      <alignment horizontal="center"/>
    </xf>
    <xf numFmtId="0" fontId="39" fillId="0" borderId="0" xfId="0" applyFont="1" applyAlignment="1" applyProtection="1">
      <alignment horizontal="center"/>
      <protection hidden="1"/>
    </xf>
    <xf numFmtId="0" fontId="2" fillId="0" borderId="0" xfId="0" applyFont="1" applyAlignment="1" applyProtection="1">
      <alignment horizontal="center"/>
      <protection hidden="1"/>
    </xf>
    <xf numFmtId="0" fontId="15" fillId="0" borderId="0" xfId="0" applyFont="1" applyAlignment="1" applyProtection="1">
      <alignment horizontal="center"/>
      <protection hidden="1"/>
    </xf>
    <xf numFmtId="0" fontId="40" fillId="0" borderId="0" xfId="0" applyFont="1" applyAlignment="1" applyProtection="1">
      <alignment horizontal="center"/>
      <protection hidden="1"/>
    </xf>
    <xf numFmtId="0" fontId="14" fillId="0" borderId="0" xfId="0" applyFont="1" applyAlignment="1" applyProtection="1">
      <alignment horizontal="center"/>
      <protection hidden="1"/>
    </xf>
    <xf numFmtId="0" fontId="11" fillId="0" borderId="0" xfId="35" applyAlignment="1" applyProtection="1">
      <alignment horizontal="center"/>
      <protection hidden="1"/>
    </xf>
    <xf numFmtId="0" fontId="4" fillId="0" borderId="0" xfId="0" applyFont="1" applyAlignment="1" applyProtection="1">
      <alignment horizontal="left" wrapText="1"/>
      <protection hidden="1"/>
    </xf>
    <xf numFmtId="0" fontId="2" fillId="0" borderId="0" xfId="0" applyFont="1" applyAlignment="1" applyProtection="1">
      <alignment horizontal="left" wrapText="1"/>
      <protection hidden="1"/>
    </xf>
    <xf numFmtId="0" fontId="13" fillId="0" borderId="0" xfId="0" applyFont="1" applyAlignment="1" applyProtection="1">
      <alignment horizontal="center"/>
      <protection hidden="1"/>
    </xf>
    <xf numFmtId="0" fontId="11" fillId="0" borderId="21" xfId="35" applyBorder="1" applyAlignment="1" applyProtection="1">
      <alignment horizontal="center"/>
      <protection hidden="1"/>
    </xf>
    <xf numFmtId="0" fontId="19" fillId="0" borderId="0" xfId="0" applyFont="1" applyAlignment="1" applyProtection="1">
      <alignment horizontal="center"/>
      <protection hidden="1"/>
    </xf>
    <xf numFmtId="9" fontId="4" fillId="0" borderId="10" xfId="41" applyFont="1" applyBorder="1" applyAlignment="1" applyProtection="1">
      <alignment horizontal="center" wrapText="1"/>
      <protection hidden="1"/>
    </xf>
    <xf numFmtId="9" fontId="4" fillId="0" borderId="10" xfId="41" applyFont="1" applyBorder="1" applyProtection="1">
      <protection hidden="1"/>
    </xf>
    <xf numFmtId="0" fontId="16" fillId="0" borderId="0" xfId="0" applyFont="1" applyAlignment="1" applyProtection="1">
      <alignment horizontal="center"/>
      <protection hidden="1"/>
    </xf>
    <xf numFmtId="0" fontId="57" fillId="27" borderId="0" xfId="0" applyFont="1" applyFill="1" applyAlignment="1" applyProtection="1">
      <alignment vertical="center"/>
      <protection hidden="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www.wikkmo.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13</xdr:col>
      <xdr:colOff>26377</xdr:colOff>
      <xdr:row>13</xdr:row>
      <xdr:rowOff>180975</xdr:rowOff>
    </xdr:to>
    <xdr:pic>
      <xdr:nvPicPr>
        <xdr:cNvPr id="5" name="Picture 4">
          <a:hlinkClick xmlns:r="http://schemas.openxmlformats.org/officeDocument/2006/relationships" r:id="rId1"/>
          <a:extLst>
            <a:ext uri="{FF2B5EF4-FFF2-40B4-BE49-F238E27FC236}">
              <a16:creationId xmlns:a16="http://schemas.microsoft.com/office/drawing/2014/main" id="{F26980FD-8FD8-4F58-A081-4DD2D2D22D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 y="38100"/>
          <a:ext cx="8017852" cy="3362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hony%20J.%20Fanchi/AppData/Local/Microsoft/Windows/Temporary%20Internet%20Files/Low/Content.IE5/7800UVKW/NSPS%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nthony.fanchi/Local%20Settings/Temporary%20Internet%20Files/OLK5D/2008%20Pay%20Program%20-%20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 Calculator"/>
      <sheetName val="Data"/>
    </sheetNames>
    <sheetDataSet>
      <sheetData sheetId="0"/>
      <sheetData sheetId="1">
        <row r="2">
          <cell r="A2" t="str">
            <v>Shift</v>
          </cell>
        </row>
        <row r="3">
          <cell r="A3" t="str">
            <v>One night a week</v>
          </cell>
        </row>
        <row r="6">
          <cell r="A6">
            <v>72</v>
          </cell>
        </row>
        <row r="7">
          <cell r="A7">
            <v>60</v>
          </cell>
        </row>
        <row r="8">
          <cell r="A8">
            <v>56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Page"/>
      <sheetName val="Previous GS Pay"/>
      <sheetName val="GS Pay Calculator"/>
      <sheetName val="GS Pay - No Locality"/>
      <sheetName val="Previous Locality Rates"/>
      <sheetName val="Locality Rates"/>
      <sheetName val="Special Rates"/>
      <sheetName val="GS Pay Scale"/>
      <sheetName val="Shift Firefighters"/>
      <sheetName val="Fire Chiefs, Fire Inspectors"/>
    </sheetNames>
    <sheetDataSet>
      <sheetData sheetId="0" refreshError="1"/>
      <sheetData sheetId="1" refreshError="1"/>
      <sheetData sheetId="2" refreshError="1"/>
      <sheetData sheetId="3" refreshError="1"/>
      <sheetData sheetId="4" refreshError="1"/>
      <sheetData sheetId="5">
        <row r="2">
          <cell r="A2" t="str">
            <v>Basic Pay (No Locality or COLA)</v>
          </cell>
        </row>
        <row r="3">
          <cell r="A3" t="str">
            <v>Rest of U.S.</v>
          </cell>
        </row>
        <row r="4">
          <cell r="A4" t="str">
            <v>Atlanta-Sandy Springs-Gainesville, GA-AL</v>
          </cell>
        </row>
        <row r="5">
          <cell r="A5" t="str">
            <v>Boston-Worcester-Manchester, MA-NH-ME-RI</v>
          </cell>
        </row>
        <row r="6">
          <cell r="A6" t="str">
            <v>Buffalo-Niagara-Cattaraugus, NY</v>
          </cell>
        </row>
        <row r="7">
          <cell r="A7" t="str">
            <v>Chicago-Naperville-Michigan City, IL-IN-WI</v>
          </cell>
        </row>
        <row r="8">
          <cell r="A8" t="str">
            <v>Cincinnati-Middletown-Wilmington, OH-KY-IN</v>
          </cell>
        </row>
        <row r="9">
          <cell r="A9" t="str">
            <v>Cleveland-Akron-Elyria, OH</v>
          </cell>
        </row>
        <row r="10">
          <cell r="A10" t="str">
            <v>Columbus-Marion-Chillicothe, OH</v>
          </cell>
        </row>
        <row r="11">
          <cell r="A11" t="str">
            <v>Dallas-Fort Worth, TX</v>
          </cell>
        </row>
        <row r="12">
          <cell r="A12" t="str">
            <v>Dayton-Springfield-Greenville, OH</v>
          </cell>
        </row>
        <row r="13">
          <cell r="A13" t="str">
            <v>Denver-Aurora-Boulder, CO</v>
          </cell>
        </row>
        <row r="14">
          <cell r="A14" t="str">
            <v>Detroit-Warren-Flint, MI</v>
          </cell>
        </row>
        <row r="15">
          <cell r="A15" t="str">
            <v>Hartford-West Hartford-Willimantic, CT-MA</v>
          </cell>
        </row>
        <row r="16">
          <cell r="A16" t="str">
            <v>Houston-Baytown-Huntsville, TX</v>
          </cell>
        </row>
        <row r="17">
          <cell r="A17" t="str">
            <v>Huntsville-Decatur, AL</v>
          </cell>
        </row>
        <row r="18">
          <cell r="A18" t="str">
            <v>Indianapolis-Anderson-Columbus, IN</v>
          </cell>
        </row>
        <row r="19">
          <cell r="A19" t="str">
            <v>Los Angeles-Long Beach-Riverside, CA</v>
          </cell>
        </row>
        <row r="20">
          <cell r="A20" t="str">
            <v>Miami-Fort Lauderdale-Miami Beach, FL</v>
          </cell>
        </row>
        <row r="21">
          <cell r="A21" t="str">
            <v>Milwaukee-Racine-Waukesha, WI</v>
          </cell>
        </row>
        <row r="22">
          <cell r="A22" t="str">
            <v>Minneapolis-St. Paul-St. Cloud, MN-WI</v>
          </cell>
        </row>
        <row r="23">
          <cell r="A23" t="str">
            <v>New York-Newark-Bridgeport, NY-NJ-CT-PA</v>
          </cell>
        </row>
        <row r="24">
          <cell r="A24" t="str">
            <v>Philadelphia-Camden-Vineland, PA-NJ-DE-MD</v>
          </cell>
        </row>
        <row r="25">
          <cell r="A25" t="str">
            <v>Phoenix-Mesa-Scottsdale, AZ</v>
          </cell>
        </row>
        <row r="26">
          <cell r="A26" t="str">
            <v>Pittsburgh-New Castle, PA</v>
          </cell>
        </row>
        <row r="27">
          <cell r="A27" t="str">
            <v>Portland-Vancouver-Beaverton, OR-WA</v>
          </cell>
        </row>
        <row r="28">
          <cell r="A28" t="str">
            <v>Raleigh-Durham-Cary, NC</v>
          </cell>
        </row>
        <row r="29">
          <cell r="A29" t="str">
            <v>Richmond, VA</v>
          </cell>
        </row>
        <row r="30">
          <cell r="A30" t="str">
            <v>Sacramento--Arden-Arcade--Truckee, CA-NV</v>
          </cell>
        </row>
        <row r="31">
          <cell r="A31" t="str">
            <v>San Diego-Carlsbad-San Marcos, CA</v>
          </cell>
        </row>
        <row r="32">
          <cell r="A32" t="str">
            <v>San Jose-San Francisco-Oakland, CA</v>
          </cell>
        </row>
        <row r="33">
          <cell r="A33" t="str">
            <v>Seattle-Tacoma-Olympia, WA</v>
          </cell>
        </row>
        <row r="34">
          <cell r="A34" t="str">
            <v>Washington-Baltimore-Northern Virginia, DC-MD-PA-VA-WV</v>
          </cell>
        </row>
        <row r="35">
          <cell r="A35" t="str">
            <v xml:space="preserve">Anchorage </v>
          </cell>
        </row>
        <row r="36">
          <cell r="A36" t="str">
            <v>Fairbanks</v>
          </cell>
        </row>
        <row r="37">
          <cell r="A37" t="str">
            <v>Juneau</v>
          </cell>
        </row>
        <row r="38">
          <cell r="A38" t="str">
            <v>Rest of Alaska</v>
          </cell>
        </row>
        <row r="39">
          <cell r="A39" t="str">
            <v>Honolulu</v>
          </cell>
        </row>
        <row r="40">
          <cell r="A40" t="str">
            <v>Hawaii (County)</v>
          </cell>
        </row>
        <row r="41">
          <cell r="A41" t="str">
            <v>Kauai</v>
          </cell>
        </row>
        <row r="42">
          <cell r="A42" t="str">
            <v>Maui and Kalawao</v>
          </cell>
        </row>
        <row r="43">
          <cell r="A43" t="str">
            <v>Puerto Rico</v>
          </cell>
        </row>
        <row r="44">
          <cell r="A44" t="str">
            <v>U.S. Virgin Islands</v>
          </cell>
        </row>
        <row r="45">
          <cell r="A45" t="str">
            <v>American Samoa</v>
          </cell>
        </row>
        <row r="46">
          <cell r="A46" t="str">
            <v>Johnston and Sand Island</v>
          </cell>
        </row>
        <row r="47">
          <cell r="A47" t="str">
            <v>Midway Islands</v>
          </cell>
        </row>
        <row r="48">
          <cell r="A48" t="str">
            <v>Guam and Northern Mariana Islands</v>
          </cell>
        </row>
        <row r="49">
          <cell r="A49" t="str">
            <v>Wake Island</v>
          </cell>
        </row>
        <row r="50">
          <cell r="A50" t="str">
            <v>Kansas City</v>
          </cell>
        </row>
        <row r="51">
          <cell r="A51" t="str">
            <v>Orlando</v>
          </cell>
        </row>
        <row r="52">
          <cell r="A52" t="str">
            <v>St. Louis</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admin@fedfirepay.com" TargetMode="External"/><Relationship Id="rId7" Type="http://schemas.openxmlformats.org/officeDocument/2006/relationships/printerSettings" Target="../printerSettings/printerSettings1.bin"/><Relationship Id="rId2" Type="http://schemas.openxmlformats.org/officeDocument/2006/relationships/hyperlink" Target="mailto:contact@wikkmo.com" TargetMode="External"/><Relationship Id="rId1" Type="http://schemas.openxmlformats.org/officeDocument/2006/relationships/hyperlink" Target="http://www.opm.gov/policy-data-oversight/pay-leave/pay-systems/nonforeign-areas/" TargetMode="External"/><Relationship Id="rId6" Type="http://schemas.openxmlformats.org/officeDocument/2006/relationships/hyperlink" Target="https://www.opm.gov/policy-data-oversight/pay-leave/pay-systems/nonforeign-areas/" TargetMode="External"/><Relationship Id="rId11" Type="http://schemas.openxmlformats.org/officeDocument/2006/relationships/comments" Target="../comments1.xml"/><Relationship Id="rId5" Type="http://schemas.openxmlformats.org/officeDocument/2006/relationships/hyperlink" Target="https://www.opm.gov/policy-data-oversight/pay-leave/salaries-wages/retroactive-pay-executive-order-2019-adjustments-of-certain-rates-of-pay.pdf" TargetMode="External"/><Relationship Id="rId10" Type="http://schemas.openxmlformats.org/officeDocument/2006/relationships/image" Target="../media/image1.png"/><Relationship Id="rId4" Type="http://schemas.openxmlformats.org/officeDocument/2006/relationships/hyperlink" Target="http://www.opm.gov/policy-data-oversight/pay-leave/salaries-wages/pay-executive-order-2020-adjustments-of-certain-rates-of-pay.pdf"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1"/>
  <sheetViews>
    <sheetView showGridLines="0" tabSelected="1" zoomScaleNormal="100" workbookViewId="0">
      <selection activeCell="G2" sqref="G2"/>
    </sheetView>
  </sheetViews>
  <sheetFormatPr defaultRowHeight="12.75" x14ac:dyDescent="0.2"/>
  <cols>
    <col min="1" max="12" width="9.140625" style="40"/>
    <col min="13" max="13" width="10.5703125" style="40" customWidth="1"/>
    <col min="14" max="16384" width="9.140625" style="40"/>
  </cols>
  <sheetData>
    <row r="1" spans="1:15" ht="20.100000000000001" customHeight="1" x14ac:dyDescent="0.4">
      <c r="A1" s="39"/>
      <c r="B1" s="39"/>
      <c r="C1" s="39"/>
      <c r="D1" s="39"/>
      <c r="E1" s="39"/>
      <c r="F1" s="39"/>
      <c r="G1" s="39"/>
      <c r="H1" s="39"/>
      <c r="I1" s="39"/>
      <c r="J1" s="39"/>
      <c r="K1" s="39"/>
      <c r="L1" s="39"/>
      <c r="M1" s="39"/>
    </row>
    <row r="2" spans="1:15" ht="20.100000000000001" customHeight="1" x14ac:dyDescent="0.2">
      <c r="A2" s="41"/>
      <c r="B2" s="41"/>
      <c r="C2" s="41"/>
      <c r="D2" s="41"/>
      <c r="E2" s="41"/>
      <c r="F2" s="41"/>
      <c r="G2" s="41"/>
      <c r="H2" s="41"/>
      <c r="I2" s="41"/>
      <c r="J2" s="41"/>
      <c r="K2" s="41"/>
      <c r="L2" s="41"/>
      <c r="M2" s="41"/>
    </row>
    <row r="3" spans="1:15" ht="20.100000000000001" customHeight="1" x14ac:dyDescent="0.2"/>
    <row r="4" spans="1:15" ht="20.100000000000001" customHeight="1" x14ac:dyDescent="0.2"/>
    <row r="5" spans="1:15" ht="20.100000000000001" customHeight="1" x14ac:dyDescent="0.2"/>
    <row r="6" spans="1:15" ht="20.100000000000001" customHeight="1" x14ac:dyDescent="0.2"/>
    <row r="7" spans="1:15" ht="20.100000000000001" customHeight="1" x14ac:dyDescent="0.2"/>
    <row r="8" spans="1:15" ht="20.100000000000001" customHeight="1" x14ac:dyDescent="0.2"/>
    <row r="9" spans="1:15" ht="20.100000000000001" customHeight="1" x14ac:dyDescent="0.2"/>
    <row r="10" spans="1:15" ht="20.100000000000001" customHeight="1" x14ac:dyDescent="0.2"/>
    <row r="11" spans="1:15" ht="20.100000000000001" customHeight="1" x14ac:dyDescent="0.2"/>
    <row r="12" spans="1:15" ht="20.100000000000001" customHeight="1" x14ac:dyDescent="0.2"/>
    <row r="13" spans="1:15" ht="19.5" customHeight="1" x14ac:dyDescent="0.2"/>
    <row r="14" spans="1:15" ht="20.100000000000001" customHeight="1" x14ac:dyDescent="0.2"/>
    <row r="15" spans="1:15" s="43" customFormat="1" ht="30" x14ac:dyDescent="0.2">
      <c r="A15" s="146" t="str">
        <f>'GS Pay Calculator'!B2&amp;" Federal Firefighter Pay Program"</f>
        <v>2021 Federal Firefighter Pay Program</v>
      </c>
      <c r="B15" s="146"/>
      <c r="C15" s="146"/>
      <c r="D15" s="146"/>
      <c r="E15" s="146"/>
      <c r="F15" s="146"/>
      <c r="G15" s="146"/>
      <c r="H15" s="146"/>
      <c r="I15" s="146"/>
      <c r="J15" s="146"/>
      <c r="K15" s="146"/>
      <c r="L15" s="146"/>
      <c r="M15" s="146"/>
      <c r="N15" s="42"/>
      <c r="O15" s="42"/>
    </row>
    <row r="16" spans="1:15" s="44" customFormat="1" ht="20.100000000000001" customHeight="1" x14ac:dyDescent="0.2"/>
    <row r="17" spans="1:13" s="45" customFormat="1" ht="15.95" customHeight="1" x14ac:dyDescent="0.2">
      <c r="C17" s="145" t="s">
        <v>84</v>
      </c>
      <c r="D17" s="145"/>
      <c r="E17" s="145"/>
      <c r="F17" s="145"/>
      <c r="G17" s="46"/>
      <c r="H17" s="145" t="s">
        <v>87</v>
      </c>
      <c r="I17" s="145"/>
      <c r="J17" s="145"/>
      <c r="K17" s="145"/>
      <c r="L17" s="47"/>
    </row>
    <row r="18" spans="1:13" s="44" customFormat="1" x14ac:dyDescent="0.2"/>
    <row r="19" spans="1:13" s="44" customFormat="1" ht="62.1" customHeight="1" x14ac:dyDescent="0.2">
      <c r="A19" s="156" t="str">
        <f>"This program is currently set-up for the year "&amp;$C$62&amp;" and covers the "&amp;C44&amp;" locality / COLA area.  It is designed to easily convert to any other locality/COLA, and can estimate annual raises.  The file works with all firefighter schedules covered under the 1998 Pay Reform Act.  The current schedules are "&amp;D29&amp;" hours for shift firefighters and "&amp;D31&amp;" hours for firefighters with an embedded 40 hour workweek."</f>
        <v>This program is currently set-up for the year 2021 and covers the Rest of the United States locality / COLA area.  It is designed to easily convert to any other locality/COLA, and can estimate annual raises.  The file works with all firefighter schedules covered under the 1998 Pay Reform Act.  The current schedules are 72 hours for shift firefighters and 60 hours for firefighters with an embedded 40 hour workweek.</v>
      </c>
      <c r="B19" s="156"/>
      <c r="C19" s="156"/>
      <c r="D19" s="156"/>
      <c r="E19" s="156"/>
      <c r="F19" s="156"/>
      <c r="G19" s="156"/>
      <c r="H19" s="156"/>
      <c r="I19" s="156"/>
      <c r="J19" s="156"/>
      <c r="K19" s="156"/>
      <c r="L19" s="156"/>
      <c r="M19" s="156"/>
    </row>
    <row r="20" spans="1:13" s="44" customFormat="1" ht="12.75" customHeight="1" x14ac:dyDescent="0.2">
      <c r="A20" s="48"/>
      <c r="B20" s="48"/>
      <c r="C20" s="48"/>
      <c r="D20" s="48"/>
      <c r="E20" s="48"/>
      <c r="F20" s="48"/>
      <c r="G20" s="48"/>
      <c r="H20" s="48"/>
      <c r="I20" s="48"/>
      <c r="J20" s="48"/>
      <c r="K20" s="48"/>
    </row>
    <row r="21" spans="1:13" s="44" customFormat="1" ht="15.95" customHeight="1" x14ac:dyDescent="0.2">
      <c r="A21" s="143" t="s">
        <v>165</v>
      </c>
      <c r="B21" s="143"/>
      <c r="C21" s="143"/>
      <c r="D21" s="143"/>
      <c r="E21" s="143"/>
      <c r="F21" s="143"/>
      <c r="G21" s="143"/>
      <c r="H21" s="143"/>
      <c r="I21" s="143"/>
      <c r="J21" s="143"/>
      <c r="K21" s="143"/>
      <c r="L21" s="143"/>
      <c r="M21" s="143"/>
    </row>
    <row r="22" spans="1:13" s="44" customFormat="1" ht="12.75" customHeight="1" x14ac:dyDescent="0.2">
      <c r="A22" s="49"/>
      <c r="B22" s="49"/>
      <c r="C22" s="49"/>
      <c r="D22" s="49"/>
      <c r="E22" s="49"/>
      <c r="F22" s="49"/>
      <c r="G22" s="49"/>
      <c r="H22" s="49"/>
      <c r="I22" s="49"/>
      <c r="J22" s="49"/>
      <c r="K22" s="49"/>
      <c r="L22" s="48"/>
      <c r="M22" s="48"/>
    </row>
    <row r="23" spans="1:13" s="44" customFormat="1" ht="45.95" customHeight="1" x14ac:dyDescent="0.2">
      <c r="A23" s="147" t="s">
        <v>166</v>
      </c>
      <c r="B23" s="147"/>
      <c r="C23" s="147"/>
      <c r="D23" s="147"/>
      <c r="E23" s="147"/>
      <c r="F23" s="147"/>
      <c r="G23" s="147"/>
      <c r="H23" s="147"/>
      <c r="I23" s="147"/>
      <c r="J23" s="147"/>
      <c r="K23" s="147"/>
      <c r="L23" s="147"/>
      <c r="M23" s="147"/>
    </row>
    <row r="24" spans="1:13" s="44" customFormat="1" x14ac:dyDescent="0.2"/>
    <row r="25" spans="1:13" s="44" customFormat="1" ht="15.95" customHeight="1" x14ac:dyDescent="0.2">
      <c r="A25" s="148"/>
      <c r="B25" s="148"/>
      <c r="C25" s="148"/>
      <c r="E25" s="145" t="s">
        <v>110</v>
      </c>
      <c r="F25" s="145"/>
      <c r="G25" s="145"/>
      <c r="H25" s="145"/>
      <c r="I25" s="145"/>
    </row>
    <row r="26" spans="1:13" s="44" customFormat="1" x14ac:dyDescent="0.2"/>
    <row r="27" spans="1:13" s="50" customFormat="1" ht="77.099999999999994" customHeight="1" x14ac:dyDescent="0.2">
      <c r="A27" s="144" t="s">
        <v>183</v>
      </c>
      <c r="B27" s="144"/>
      <c r="C27" s="144"/>
      <c r="D27" s="144"/>
      <c r="E27" s="144"/>
      <c r="F27" s="144"/>
      <c r="G27" s="144"/>
      <c r="H27" s="144"/>
      <c r="I27" s="144"/>
      <c r="J27" s="144"/>
      <c r="K27" s="144"/>
      <c r="L27" s="144"/>
      <c r="M27" s="144"/>
    </row>
    <row r="28" spans="1:13" s="44" customFormat="1" x14ac:dyDescent="0.2">
      <c r="H28" s="51"/>
    </row>
    <row r="29" spans="1:13" s="44" customFormat="1" ht="15.95" customHeight="1" x14ac:dyDescent="0.2">
      <c r="A29" s="52" t="s">
        <v>36</v>
      </c>
      <c r="B29" s="52"/>
      <c r="D29" s="53">
        <v>72</v>
      </c>
      <c r="G29" s="54"/>
      <c r="J29" s="55"/>
    </row>
    <row r="30" spans="1:13" s="44" customFormat="1" x14ac:dyDescent="0.2"/>
    <row r="31" spans="1:13" s="44" customFormat="1" ht="15.95" customHeight="1" x14ac:dyDescent="0.2">
      <c r="A31" s="52" t="s">
        <v>184</v>
      </c>
      <c r="B31" s="52"/>
      <c r="D31" s="53">
        <v>60</v>
      </c>
      <c r="G31" s="54"/>
      <c r="J31" s="55"/>
    </row>
    <row r="32" spans="1:13" s="44" customFormat="1" x14ac:dyDescent="0.2">
      <c r="C32" s="56"/>
      <c r="F32" s="54"/>
      <c r="I32" s="55"/>
    </row>
    <row r="33" spans="1:14" s="44" customFormat="1" ht="45.95" customHeight="1" x14ac:dyDescent="0.2">
      <c r="A33" s="144" t="s">
        <v>167</v>
      </c>
      <c r="B33" s="144"/>
      <c r="C33" s="144"/>
      <c r="D33" s="144"/>
      <c r="E33" s="144"/>
      <c r="F33" s="144"/>
      <c r="G33" s="144"/>
      <c r="H33" s="144"/>
      <c r="I33" s="144"/>
      <c r="J33" s="144"/>
      <c r="K33" s="144"/>
      <c r="L33" s="144"/>
      <c r="M33" s="144"/>
    </row>
    <row r="34" spans="1:14" s="44" customFormat="1" x14ac:dyDescent="0.2">
      <c r="A34" s="45"/>
    </row>
    <row r="35" spans="1:14" s="44" customFormat="1" ht="45.95" customHeight="1" x14ac:dyDescent="0.2">
      <c r="A35" s="163" t="s">
        <v>168</v>
      </c>
      <c r="B35" s="163"/>
      <c r="C35" s="163"/>
      <c r="D35" s="163"/>
      <c r="E35" s="163"/>
      <c r="F35" s="163"/>
      <c r="G35" s="163"/>
      <c r="H35" s="163"/>
      <c r="I35" s="163"/>
      <c r="J35" s="163"/>
      <c r="K35" s="163"/>
      <c r="L35" s="163"/>
      <c r="M35" s="163"/>
    </row>
    <row r="36" spans="1:14" s="44" customFormat="1" x14ac:dyDescent="0.2"/>
    <row r="37" spans="1:14" s="44" customFormat="1" ht="15.95" customHeight="1" x14ac:dyDescent="0.2">
      <c r="A37" s="157" t="s">
        <v>88</v>
      </c>
      <c r="B37" s="157"/>
      <c r="C37" s="157"/>
      <c r="D37" s="157"/>
      <c r="E37" s="53" t="s">
        <v>90</v>
      </c>
    </row>
    <row r="38" spans="1:14" s="44" customFormat="1" x14ac:dyDescent="0.2"/>
    <row r="39" spans="1:14" s="44" customFormat="1" ht="45.95" customHeight="1" x14ac:dyDescent="0.2">
      <c r="A39" s="144" t="s">
        <v>169</v>
      </c>
      <c r="B39" s="144"/>
      <c r="C39" s="144"/>
      <c r="D39" s="144"/>
      <c r="E39" s="144"/>
      <c r="F39" s="144"/>
      <c r="G39" s="144"/>
      <c r="H39" s="144"/>
      <c r="I39" s="144"/>
      <c r="J39" s="144"/>
      <c r="K39" s="144"/>
      <c r="L39" s="144"/>
      <c r="M39" s="144"/>
    </row>
    <row r="40" spans="1:14" s="44" customFormat="1" x14ac:dyDescent="0.2"/>
    <row r="41" spans="1:14" s="44" customFormat="1" ht="15.95" customHeight="1" x14ac:dyDescent="0.2">
      <c r="A41" s="150" t="s">
        <v>188</v>
      </c>
      <c r="B41" s="150"/>
      <c r="C41" s="150"/>
      <c r="D41" s="150"/>
      <c r="E41" s="150"/>
      <c r="F41" s="150"/>
      <c r="G41" s="150"/>
      <c r="H41" s="150"/>
      <c r="I41" s="154" t="s">
        <v>163</v>
      </c>
      <c r="J41" s="154"/>
      <c r="K41" s="154"/>
      <c r="L41" s="154" t="s">
        <v>174</v>
      </c>
      <c r="M41" s="154"/>
    </row>
    <row r="42" spans="1:14" s="44" customFormat="1" ht="15.95" customHeight="1" x14ac:dyDescent="0.2">
      <c r="A42" s="147" t="s">
        <v>187</v>
      </c>
      <c r="B42" s="147"/>
      <c r="C42" s="147"/>
      <c r="D42" s="147"/>
      <c r="E42" s="147"/>
      <c r="F42" s="147"/>
      <c r="G42" s="147"/>
      <c r="H42" s="147"/>
      <c r="I42" s="147"/>
      <c r="J42" s="147"/>
      <c r="K42" s="147"/>
      <c r="L42" s="147"/>
      <c r="M42" s="147"/>
    </row>
    <row r="43" spans="1:14" s="44" customFormat="1" x14ac:dyDescent="0.2">
      <c r="C43" s="56"/>
    </row>
    <row r="44" spans="1:14" s="44" customFormat="1" ht="15.95" customHeight="1" x14ac:dyDescent="0.2">
      <c r="A44" s="52" t="s">
        <v>170</v>
      </c>
      <c r="C44" s="151" t="s">
        <v>77</v>
      </c>
      <c r="D44" s="151"/>
      <c r="E44" s="151"/>
      <c r="F44" s="151"/>
      <c r="G44" s="151"/>
      <c r="H44" s="149" t="s">
        <v>62</v>
      </c>
      <c r="I44" s="149"/>
      <c r="J44" s="149"/>
      <c r="K44" s="149"/>
      <c r="L44" s="152"/>
      <c r="M44" s="152"/>
    </row>
    <row r="45" spans="1:14" s="44" customFormat="1" x14ac:dyDescent="0.2">
      <c r="C45" s="57"/>
      <c r="D45" s="45"/>
      <c r="E45" s="45"/>
    </row>
    <row r="46" spans="1:14" s="44" customFormat="1" ht="15.95" customHeight="1" x14ac:dyDescent="0.2">
      <c r="A46" s="153" t="s">
        <v>78</v>
      </c>
      <c r="B46" s="153"/>
      <c r="C46" s="58">
        <f>IF(C50="",VLOOKUP(C44,'Locality Rates'!A2:B65,2,FALSE),C50)</f>
        <v>0.1595</v>
      </c>
      <c r="D46" s="160" t="s">
        <v>93</v>
      </c>
      <c r="E46" s="160"/>
      <c r="F46" s="160"/>
      <c r="G46" s="58">
        <f>IF(G50="",IF(E37="Yes",VLOOKUP(C44,'Locality Rates'!A2:C65,3,FALSE),VLOOKUP(C44,'Locality Rates'!A2:F65,5,FALSE)),G50)</f>
        <v>0</v>
      </c>
      <c r="H46" s="149" t="s">
        <v>79</v>
      </c>
      <c r="I46" s="149"/>
      <c r="J46" s="149"/>
      <c r="K46" s="149"/>
      <c r="L46" s="149"/>
      <c r="M46" s="149"/>
      <c r="N46" s="149"/>
    </row>
    <row r="47" spans="1:14" s="44" customFormat="1" x14ac:dyDescent="0.2">
      <c r="C47" s="59"/>
      <c r="D47" s="37"/>
      <c r="E47" s="37"/>
      <c r="F47" s="59"/>
      <c r="G47" s="60"/>
      <c r="H47" s="61"/>
      <c r="I47" s="45"/>
    </row>
    <row r="48" spans="1:14" s="44" customFormat="1" ht="15.95" customHeight="1" x14ac:dyDescent="0.2">
      <c r="A48" s="162" t="s">
        <v>175</v>
      </c>
      <c r="B48" s="162"/>
      <c r="C48" s="162"/>
      <c r="D48" s="162"/>
      <c r="E48" s="162"/>
      <c r="F48" s="162"/>
      <c r="G48" s="162"/>
      <c r="H48" s="162"/>
      <c r="I48" s="162"/>
      <c r="J48" s="162"/>
      <c r="K48" s="162"/>
      <c r="L48" s="162"/>
      <c r="M48" s="162"/>
    </row>
    <row r="49" spans="1:14" s="44" customFormat="1" x14ac:dyDescent="0.2">
      <c r="C49" s="59"/>
      <c r="D49" s="37"/>
      <c r="E49" s="37"/>
      <c r="F49" s="59"/>
      <c r="G49" s="60"/>
      <c r="H49" s="61"/>
      <c r="I49" s="45"/>
    </row>
    <row r="50" spans="1:14" s="44" customFormat="1" ht="15.95" customHeight="1" x14ac:dyDescent="0.2">
      <c r="A50" s="153" t="s">
        <v>78</v>
      </c>
      <c r="B50" s="153"/>
      <c r="C50" s="62"/>
      <c r="D50" s="160" t="s">
        <v>93</v>
      </c>
      <c r="E50" s="160"/>
      <c r="F50" s="160"/>
      <c r="G50" s="62"/>
      <c r="H50" s="159" t="s">
        <v>80</v>
      </c>
      <c r="I50" s="159"/>
      <c r="J50" s="159"/>
      <c r="K50" s="159"/>
      <c r="L50" s="159"/>
      <c r="M50" s="159"/>
      <c r="N50" s="159"/>
    </row>
    <row r="51" spans="1:14" s="44" customFormat="1" x14ac:dyDescent="0.2">
      <c r="C51" s="63"/>
      <c r="D51" s="54"/>
    </row>
    <row r="52" spans="1:14" s="44" customFormat="1" ht="45.95" customHeight="1" x14ac:dyDescent="0.2">
      <c r="A52" s="147" t="s">
        <v>171</v>
      </c>
      <c r="B52" s="147"/>
      <c r="C52" s="147"/>
      <c r="D52" s="147"/>
      <c r="E52" s="147"/>
      <c r="F52" s="147"/>
      <c r="G52" s="147"/>
      <c r="H52" s="147"/>
      <c r="I52" s="147"/>
      <c r="J52" s="147"/>
      <c r="K52" s="147"/>
      <c r="L52" s="147"/>
      <c r="M52" s="147"/>
    </row>
    <row r="53" spans="1:14" s="44" customFormat="1" ht="12.75" customHeight="1" x14ac:dyDescent="0.2">
      <c r="A53" s="64"/>
      <c r="B53" s="64"/>
      <c r="C53" s="64"/>
      <c r="D53" s="64"/>
      <c r="E53" s="64"/>
      <c r="F53" s="64"/>
      <c r="G53" s="64"/>
      <c r="H53" s="64"/>
      <c r="I53" s="64"/>
      <c r="J53" s="64"/>
      <c r="K53" s="64"/>
    </row>
    <row r="54" spans="1:14" s="45" customFormat="1" ht="30.95" customHeight="1" x14ac:dyDescent="0.2">
      <c r="A54" s="158" t="str">
        <f>"Enter the raise below for the appropriate year.  This file is initially set-up for the year "&amp;'GS Pay Calculator'!$B$2&amp;".  When raises are entered, the year indicated on the pay charts should match the year of the latest raise."</f>
        <v>Enter the raise below for the appropriate year.  This file is initially set-up for the year 2021.  When raises are entered, the year indicated on the pay charts should match the year of the latest raise.</v>
      </c>
      <c r="B54" s="158"/>
      <c r="C54" s="158"/>
      <c r="D54" s="158"/>
      <c r="E54" s="158"/>
      <c r="F54" s="158"/>
      <c r="G54" s="158"/>
      <c r="H54" s="158"/>
      <c r="I54" s="158"/>
      <c r="J54" s="158"/>
      <c r="K54" s="158"/>
      <c r="L54" s="158"/>
      <c r="M54" s="158"/>
    </row>
    <row r="55" spans="1:14" s="44" customFormat="1" x14ac:dyDescent="0.2">
      <c r="A55" s="65"/>
    </row>
    <row r="56" spans="1:14" s="44" customFormat="1" ht="15.75" x14ac:dyDescent="0.2">
      <c r="A56" s="65"/>
      <c r="I56" s="161" t="s">
        <v>72</v>
      </c>
      <c r="J56" s="161"/>
    </row>
    <row r="57" spans="1:14" s="44" customFormat="1" ht="15.95" customHeight="1" x14ac:dyDescent="0.2">
      <c r="A57" s="66" t="s">
        <v>34</v>
      </c>
      <c r="B57" s="66" t="s">
        <v>42</v>
      </c>
      <c r="C57" s="66" t="s">
        <v>34</v>
      </c>
      <c r="D57" s="66" t="s">
        <v>42</v>
      </c>
      <c r="G57" s="37"/>
      <c r="H57" s="67"/>
      <c r="I57" s="68" t="s">
        <v>34</v>
      </c>
      <c r="J57" s="68" t="s">
        <v>42</v>
      </c>
    </row>
    <row r="58" spans="1:14" s="44" customFormat="1" ht="15.95" customHeight="1" x14ac:dyDescent="0.2">
      <c r="A58" s="69">
        <f>'GS Pay Calculator'!B2+1</f>
        <v>2022</v>
      </c>
      <c r="B58" s="70">
        <v>0</v>
      </c>
      <c r="C58" s="69">
        <f>A58+1</f>
        <v>2023</v>
      </c>
      <c r="D58" s="70">
        <v>0</v>
      </c>
      <c r="F58" s="71"/>
      <c r="I58" s="72">
        <v>2008</v>
      </c>
      <c r="J58" s="73">
        <v>3.5</v>
      </c>
    </row>
    <row r="59" spans="1:14" s="44" customFormat="1" ht="15.95" customHeight="1" x14ac:dyDescent="0.2">
      <c r="A59" s="69">
        <f>A58+2</f>
        <v>2024</v>
      </c>
      <c r="B59" s="70">
        <v>0</v>
      </c>
      <c r="C59" s="69">
        <f>C58+2</f>
        <v>2025</v>
      </c>
      <c r="D59" s="70">
        <v>0</v>
      </c>
      <c r="F59" s="71"/>
      <c r="I59" s="72">
        <v>2009</v>
      </c>
      <c r="J59" s="73">
        <v>3.9</v>
      </c>
    </row>
    <row r="60" spans="1:14" s="44" customFormat="1" ht="15.95" customHeight="1" x14ac:dyDescent="0.2">
      <c r="A60" s="69">
        <f>A59+2</f>
        <v>2026</v>
      </c>
      <c r="B60" s="70">
        <v>0</v>
      </c>
      <c r="C60" s="69">
        <f>C59+2</f>
        <v>2027</v>
      </c>
      <c r="D60" s="70">
        <v>0</v>
      </c>
      <c r="F60" s="71"/>
      <c r="I60" s="72">
        <v>2010</v>
      </c>
      <c r="J60" s="73">
        <v>2</v>
      </c>
    </row>
    <row r="61" spans="1:14" s="44" customFormat="1" ht="15.95" customHeight="1" x14ac:dyDescent="0.2">
      <c r="A61" s="69">
        <f>A60+2</f>
        <v>2028</v>
      </c>
      <c r="B61" s="70">
        <v>0</v>
      </c>
      <c r="C61" s="69">
        <f>C60+2</f>
        <v>2029</v>
      </c>
      <c r="D61" s="70">
        <v>0</v>
      </c>
      <c r="F61" s="71"/>
      <c r="I61" s="72">
        <v>2011</v>
      </c>
      <c r="J61" s="73">
        <v>0</v>
      </c>
    </row>
    <row r="62" spans="1:14" s="44" customFormat="1" hidden="1" x14ac:dyDescent="0.2">
      <c r="A62" s="55" t="s">
        <v>65</v>
      </c>
      <c r="B62" s="74"/>
      <c r="C62" s="37">
        <f>IF(D61&gt;0,C61,IF(B61&gt;0,A61,IF(D60&gt;0,C60,IF(B60&gt;0,A60,IF(D59&gt;0,C59,IF(B59&gt;0,A59,IF(D58&gt;0,C58,IF(B58&gt;0,A58,'GS Pay Calculator'!B2))))))))</f>
        <v>2021</v>
      </c>
      <c r="D62" s="74"/>
      <c r="F62" s="71"/>
    </row>
    <row r="63" spans="1:14" s="44" customFormat="1" x14ac:dyDescent="0.2">
      <c r="A63" s="55"/>
      <c r="B63" s="74"/>
      <c r="C63" s="37"/>
      <c r="D63" s="74"/>
      <c r="F63" s="71"/>
    </row>
    <row r="64" spans="1:14" s="44" customFormat="1" ht="60.95" customHeight="1" x14ac:dyDescent="0.2">
      <c r="A64" s="147" t="s">
        <v>172</v>
      </c>
      <c r="B64" s="147"/>
      <c r="C64" s="147"/>
      <c r="D64" s="147"/>
      <c r="E64" s="147"/>
      <c r="F64" s="147"/>
      <c r="G64" s="147"/>
      <c r="H64" s="147"/>
      <c r="I64" s="147"/>
      <c r="J64" s="147"/>
      <c r="K64" s="147"/>
      <c r="L64" s="147"/>
      <c r="M64" s="147"/>
    </row>
    <row r="65" spans="1:13" s="44" customFormat="1" x14ac:dyDescent="0.2">
      <c r="C65" s="56"/>
      <c r="E65" s="55"/>
    </row>
    <row r="66" spans="1:13" s="44" customFormat="1" ht="77.099999999999994" customHeight="1" x14ac:dyDescent="0.2">
      <c r="A66" s="147" t="s">
        <v>173</v>
      </c>
      <c r="B66" s="147"/>
      <c r="C66" s="147"/>
      <c r="D66" s="147"/>
      <c r="E66" s="147"/>
      <c r="F66" s="147"/>
      <c r="G66" s="147"/>
      <c r="H66" s="147"/>
      <c r="I66" s="147"/>
      <c r="J66" s="147"/>
      <c r="K66" s="147"/>
      <c r="L66" s="147"/>
      <c r="M66" s="147"/>
    </row>
    <row r="67" spans="1:13" x14ac:dyDescent="0.2">
      <c r="A67" s="40" t="s">
        <v>19</v>
      </c>
      <c r="C67" s="75"/>
      <c r="E67" s="76"/>
    </row>
    <row r="68" spans="1:13" x14ac:dyDescent="0.2">
      <c r="C68" s="75"/>
      <c r="E68" s="76"/>
    </row>
    <row r="69" spans="1:13" x14ac:dyDescent="0.2">
      <c r="C69" s="75"/>
      <c r="E69" s="76"/>
    </row>
    <row r="70" spans="1:13" s="52" customFormat="1" ht="15.95" customHeight="1" x14ac:dyDescent="0.2">
      <c r="A70" s="77" t="s">
        <v>176</v>
      </c>
      <c r="B70" s="77"/>
      <c r="C70" s="77"/>
      <c r="D70" s="77"/>
      <c r="E70" s="78"/>
    </row>
    <row r="71" spans="1:13" s="52" customFormat="1" ht="15.95" customHeight="1" x14ac:dyDescent="0.2">
      <c r="A71" s="79"/>
      <c r="B71" s="79"/>
      <c r="C71" s="77"/>
      <c r="D71" s="77"/>
      <c r="E71" s="78"/>
    </row>
    <row r="72" spans="1:13" s="44" customFormat="1" ht="15.95" customHeight="1" x14ac:dyDescent="0.2">
      <c r="A72" s="52" t="s">
        <v>177</v>
      </c>
    </row>
    <row r="73" spans="1:13" s="44" customFormat="1" ht="15.95" customHeight="1" x14ac:dyDescent="0.2">
      <c r="A73" s="52" t="s">
        <v>178</v>
      </c>
    </row>
    <row r="74" spans="1:13" s="44" customFormat="1" ht="15.75" x14ac:dyDescent="0.2">
      <c r="A74" s="52"/>
    </row>
    <row r="75" spans="1:13" s="44" customFormat="1" ht="15.95" customHeight="1" x14ac:dyDescent="0.2">
      <c r="A75" s="52" t="s">
        <v>179</v>
      </c>
    </row>
    <row r="76" spans="1:13" s="44" customFormat="1" ht="15.95" customHeight="1" x14ac:dyDescent="0.2">
      <c r="A76" s="52" t="s">
        <v>180</v>
      </c>
    </row>
    <row r="77" spans="1:13" s="44" customFormat="1" ht="15.95" customHeight="1" x14ac:dyDescent="0.2">
      <c r="A77" s="80" t="s">
        <v>181</v>
      </c>
    </row>
    <row r="78" spans="1:13" s="44" customFormat="1" ht="15.75" x14ac:dyDescent="0.2">
      <c r="A78" s="52"/>
    </row>
    <row r="79" spans="1:13" s="44" customFormat="1" ht="15.95" customHeight="1" x14ac:dyDescent="0.2">
      <c r="A79" s="155" t="s">
        <v>182</v>
      </c>
      <c r="B79" s="155"/>
      <c r="C79" s="155"/>
    </row>
    <row r="80" spans="1:13" s="44" customFormat="1" ht="15.95" customHeight="1" x14ac:dyDescent="0.2">
      <c r="A80" s="155" t="s">
        <v>185</v>
      </c>
      <c r="B80" s="155"/>
      <c r="C80" s="155"/>
    </row>
    <row r="81" spans="1:1" s="44" customFormat="1" ht="15.95" customHeight="1" x14ac:dyDescent="0.2">
      <c r="A81" s="183" t="s">
        <v>189</v>
      </c>
    </row>
  </sheetData>
  <sheetProtection algorithmName="SHA-512" hashValue="Hhs3evmnuhs+NRSzFWjzOIbKtHWxjQ/SsTL2C0xNhyfavc3sSWtoRsfsPuAONosMwUNaVYoLQy6uNCu8B5Klcw==" saltValue="xGG5oeVNYdgvfRSCFiv01A==" spinCount="100000" sheet="1" objects="1" scenarios="1"/>
  <mergeCells count="33">
    <mergeCell ref="A80:C80"/>
    <mergeCell ref="A79:C79"/>
    <mergeCell ref="A19:M19"/>
    <mergeCell ref="A37:D37"/>
    <mergeCell ref="A66:M66"/>
    <mergeCell ref="A54:M54"/>
    <mergeCell ref="A64:M64"/>
    <mergeCell ref="A50:B50"/>
    <mergeCell ref="A52:M52"/>
    <mergeCell ref="H50:N50"/>
    <mergeCell ref="D50:F50"/>
    <mergeCell ref="I56:J56"/>
    <mergeCell ref="E25:I25"/>
    <mergeCell ref="A48:M48"/>
    <mergeCell ref="D46:F46"/>
    <mergeCell ref="A35:M35"/>
    <mergeCell ref="H46:N46"/>
    <mergeCell ref="A41:H41"/>
    <mergeCell ref="C44:G44"/>
    <mergeCell ref="H44:M44"/>
    <mergeCell ref="A46:B46"/>
    <mergeCell ref="A42:M42"/>
    <mergeCell ref="L41:M41"/>
    <mergeCell ref="I41:K41"/>
    <mergeCell ref="A21:M21"/>
    <mergeCell ref="A39:M39"/>
    <mergeCell ref="C17:F17"/>
    <mergeCell ref="H17:K17"/>
    <mergeCell ref="A15:M15"/>
    <mergeCell ref="A23:M23"/>
    <mergeCell ref="A25:C25"/>
    <mergeCell ref="A27:M27"/>
    <mergeCell ref="A33:M33"/>
  </mergeCells>
  <phoneticPr fontId="0" type="noConversion"/>
  <dataValidations count="6">
    <dataValidation type="decimal" allowBlank="1" showInputMessage="1" showErrorMessage="1" error="Enter a raise between 0 &amp; 20" sqref="B58:B61 D58:D61" xr:uid="{00000000-0002-0000-0000-000000000000}">
      <formula1>0</formula1>
      <formula2>20</formula2>
    </dataValidation>
    <dataValidation type="decimal" allowBlank="1" showInputMessage="1" showErrorMessage="1" error="Make sure you enter the locality rate as a number between 0 and 50, and don't enter a % sign." sqref="H47 H49" xr:uid="{00000000-0002-0000-0000-000001000000}">
      <formula1>0</formula1>
      <formula2>50</formula2>
    </dataValidation>
    <dataValidation type="list" allowBlank="1" showInputMessage="1" showErrorMessage="1" sqref="D29" xr:uid="{00000000-0002-0000-0000-000002000000}">
      <formula1>Shift</formula1>
    </dataValidation>
    <dataValidation type="list" allowBlank="1" showInputMessage="1" showErrorMessage="1" sqref="D31" xr:uid="{00000000-0002-0000-0000-000003000000}">
      <formula1>Inspectors</formula1>
    </dataValidation>
    <dataValidation type="list" allowBlank="1" showInputMessage="1" showErrorMessage="1" sqref="C44:G44" xr:uid="{00000000-0002-0000-0000-000004000000}">
      <formula1>Locality</formula1>
    </dataValidation>
    <dataValidation type="list" allowBlank="1" showInputMessage="1" showErrorMessage="1" sqref="E37" xr:uid="{00000000-0002-0000-0000-000005000000}">
      <formula1>Post</formula1>
    </dataValidation>
  </dataValidations>
  <hyperlinks>
    <hyperlink ref="L41" r:id="rId1" location="url=Overview" xr:uid="{00000000-0004-0000-0000-000003000000}"/>
    <hyperlink ref="E25:H25" location="'Pay Retention &amp; Special Rates'!D3" display="Pay Retention &amp; Special Rates" xr:uid="{00000000-0004-0000-0000-000005000000}"/>
    <hyperlink ref="C17:E17" location="'Shift Firefighters'!G5" display="Shift Firefighters" xr:uid="{1C2DD9A8-7276-4C04-9961-A96F1B8544EA}"/>
    <hyperlink ref="H17:K17" location="'Chief, Training, Inspectors'!G5" display="Chief, Training, Inspectors" xr:uid="{597F5B69-7BF2-49E0-9259-600E740ECF9C}"/>
    <hyperlink ref="A79" r:id="rId2" xr:uid="{56DFF5F0-8CD9-4E1C-ACAA-B69336354192}"/>
    <hyperlink ref="C17:F17" location="'Shift Firefighters'!G5" display="Shift Firefighters" xr:uid="{B7B9776F-E04A-4D29-9DE4-9AAECF10C081}"/>
    <hyperlink ref="E25:I25" location="'Pay Retention &amp; Special Rates'!D3" display="Pay Retention &amp; Special Rates" xr:uid="{8F59FF0C-4151-4EA8-A59C-BDC08342480C}"/>
    <hyperlink ref="A80" r:id="rId3" xr:uid="{561F5F6B-A5C3-4C61-BB59-B412295BAED6}"/>
    <hyperlink ref="I41:K41" r:id="rId4" display="Executive Order" xr:uid="{A031CD70-FE11-48B6-8305-7D7FDAE2BB65}"/>
    <hyperlink ref="I41" r:id="rId5" xr:uid="{00000000-0004-0000-0000-000002000000}"/>
    <hyperlink ref="L41:M41" r:id="rId6" display="COLA Rates" xr:uid="{2B71A34B-42F8-4E95-9FC7-30EA8E658B4A}"/>
  </hyperlinks>
  <printOptions horizontalCentered="1"/>
  <pageMargins left="0.75" right="0.75" top="1" bottom="1" header="0.5" footer="0.5"/>
  <pageSetup scale="70" orientation="portrait" horizontalDpi="300" verticalDpi="300" r:id="rId7"/>
  <headerFooter alignWithMargins="0"/>
  <drawing r:id="rId8"/>
  <legacyDrawing r:id="rId9"/>
  <pictur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showGridLines="0" workbookViewId="0">
      <selection activeCell="D3" sqref="D3:F3"/>
    </sheetView>
  </sheetViews>
  <sheetFormatPr defaultRowHeight="12.75" x14ac:dyDescent="0.2"/>
  <cols>
    <col min="1" max="1" width="9.28515625" style="7" customWidth="1"/>
    <col min="2" max="11" width="9.140625" style="7"/>
  </cols>
  <sheetData>
    <row r="1" spans="1:11" s="1" customFormat="1" ht="12.75" customHeight="1" x14ac:dyDescent="0.2">
      <c r="A1" s="10" t="s">
        <v>27</v>
      </c>
      <c r="B1" s="164"/>
      <c r="C1" s="165"/>
      <c r="D1" s="165"/>
      <c r="E1" s="165"/>
      <c r="F1" s="165"/>
      <c r="G1" s="165"/>
      <c r="H1" s="165"/>
      <c r="I1" s="165"/>
      <c r="J1" s="165"/>
      <c r="K1" s="165"/>
    </row>
    <row r="2" spans="1:11" s="1" customFormat="1" x14ac:dyDescent="0.2">
      <c r="A2" s="2" t="s">
        <v>29</v>
      </c>
      <c r="B2" s="6">
        <v>2021</v>
      </c>
      <c r="C2" s="6" t="s">
        <v>44</v>
      </c>
      <c r="D2" s="6">
        <f>B2+1</f>
        <v>2022</v>
      </c>
      <c r="E2" s="6" t="s">
        <v>44</v>
      </c>
      <c r="F2" s="6">
        <f>D2+1</f>
        <v>2023</v>
      </c>
      <c r="G2" s="6" t="s">
        <v>44</v>
      </c>
      <c r="H2" s="6">
        <f>F2+1</f>
        <v>2024</v>
      </c>
      <c r="I2" s="12" t="s">
        <v>44</v>
      </c>
      <c r="J2" s="6">
        <f>H2+1</f>
        <v>2025</v>
      </c>
      <c r="K2" s="6" t="s">
        <v>44</v>
      </c>
    </row>
    <row r="3" spans="1:11" s="1" customFormat="1" x14ac:dyDescent="0.2">
      <c r="A3" s="13" t="s">
        <v>45</v>
      </c>
      <c r="B3" s="25">
        <v>24216</v>
      </c>
      <c r="C3" s="26">
        <v>807</v>
      </c>
      <c r="D3" s="15">
        <f t="shared" ref="D3:E14" si="0">ROUND(B3+(B3*$K$17),0)</f>
        <v>24216</v>
      </c>
      <c r="E3" s="15">
        <f t="shared" si="0"/>
        <v>807</v>
      </c>
      <c r="F3" s="15">
        <f t="shared" ref="F3:G14" si="1">ROUND(D3+(D3*$K$18),0)</f>
        <v>24216</v>
      </c>
      <c r="G3" s="15">
        <f t="shared" si="1"/>
        <v>807</v>
      </c>
      <c r="H3" s="15">
        <f t="shared" ref="H3:I14" si="2">ROUND(F3+(F3*$K$19),0)</f>
        <v>24216</v>
      </c>
      <c r="I3" s="15">
        <f t="shared" si="2"/>
        <v>807</v>
      </c>
      <c r="J3" s="15">
        <f t="shared" ref="J3:K14" si="3">ROUND(H3+(H3*$K$20),0)</f>
        <v>24216</v>
      </c>
      <c r="K3" s="15">
        <f t="shared" si="3"/>
        <v>807</v>
      </c>
    </row>
    <row r="4" spans="1:11" s="1" customFormat="1" x14ac:dyDescent="0.2">
      <c r="A4" s="16" t="s">
        <v>46</v>
      </c>
      <c r="B4" s="25">
        <v>27184</v>
      </c>
      <c r="C4" s="26">
        <v>906</v>
      </c>
      <c r="D4" s="15">
        <f t="shared" si="0"/>
        <v>27184</v>
      </c>
      <c r="E4" s="15">
        <f t="shared" si="0"/>
        <v>906</v>
      </c>
      <c r="F4" s="15">
        <f t="shared" si="1"/>
        <v>27184</v>
      </c>
      <c r="G4" s="15">
        <f t="shared" si="1"/>
        <v>906</v>
      </c>
      <c r="H4" s="15">
        <f t="shared" si="2"/>
        <v>27184</v>
      </c>
      <c r="I4" s="15">
        <f t="shared" si="2"/>
        <v>906</v>
      </c>
      <c r="J4" s="15">
        <f t="shared" si="3"/>
        <v>27184</v>
      </c>
      <c r="K4" s="15">
        <f t="shared" si="3"/>
        <v>906</v>
      </c>
    </row>
    <row r="5" spans="1:11" s="1" customFormat="1" x14ac:dyDescent="0.2">
      <c r="A5" s="13" t="s">
        <v>47</v>
      </c>
      <c r="B5" s="25">
        <v>30414</v>
      </c>
      <c r="C5" s="26">
        <v>1014</v>
      </c>
      <c r="D5" s="15">
        <f t="shared" si="0"/>
        <v>30414</v>
      </c>
      <c r="E5" s="15">
        <f t="shared" si="0"/>
        <v>1014</v>
      </c>
      <c r="F5" s="15">
        <f t="shared" si="1"/>
        <v>30414</v>
      </c>
      <c r="G5" s="15">
        <f t="shared" si="1"/>
        <v>1014</v>
      </c>
      <c r="H5" s="15">
        <f t="shared" si="2"/>
        <v>30414</v>
      </c>
      <c r="I5" s="15">
        <f t="shared" si="2"/>
        <v>1014</v>
      </c>
      <c r="J5" s="15">
        <f t="shared" si="3"/>
        <v>30414</v>
      </c>
      <c r="K5" s="15">
        <f t="shared" si="3"/>
        <v>1014</v>
      </c>
    </row>
    <row r="6" spans="1:11" s="1" customFormat="1" x14ac:dyDescent="0.2">
      <c r="A6" s="16" t="s">
        <v>48</v>
      </c>
      <c r="B6" s="25">
        <v>33903</v>
      </c>
      <c r="C6" s="26">
        <v>1130</v>
      </c>
      <c r="D6" s="15">
        <f t="shared" si="0"/>
        <v>33903</v>
      </c>
      <c r="E6" s="15">
        <f t="shared" si="0"/>
        <v>1130</v>
      </c>
      <c r="F6" s="15">
        <f t="shared" si="1"/>
        <v>33903</v>
      </c>
      <c r="G6" s="15">
        <f t="shared" si="1"/>
        <v>1130</v>
      </c>
      <c r="H6" s="15">
        <f t="shared" si="2"/>
        <v>33903</v>
      </c>
      <c r="I6" s="15">
        <f t="shared" si="2"/>
        <v>1130</v>
      </c>
      <c r="J6" s="15">
        <f t="shared" si="3"/>
        <v>33903</v>
      </c>
      <c r="K6" s="15">
        <f t="shared" si="3"/>
        <v>1130</v>
      </c>
    </row>
    <row r="7" spans="1:11" s="1" customFormat="1" x14ac:dyDescent="0.2">
      <c r="A7" s="13" t="s">
        <v>49</v>
      </c>
      <c r="B7" s="25">
        <v>37674</v>
      </c>
      <c r="C7" s="26">
        <v>1256</v>
      </c>
      <c r="D7" s="15">
        <f t="shared" si="0"/>
        <v>37674</v>
      </c>
      <c r="E7" s="15">
        <f t="shared" si="0"/>
        <v>1256</v>
      </c>
      <c r="F7" s="15">
        <f t="shared" si="1"/>
        <v>37674</v>
      </c>
      <c r="G7" s="15">
        <f t="shared" si="1"/>
        <v>1256</v>
      </c>
      <c r="H7" s="15">
        <f t="shared" si="2"/>
        <v>37674</v>
      </c>
      <c r="I7" s="15">
        <f t="shared" si="2"/>
        <v>1256</v>
      </c>
      <c r="J7" s="15">
        <f t="shared" si="3"/>
        <v>37674</v>
      </c>
      <c r="K7" s="15">
        <f t="shared" si="3"/>
        <v>1256</v>
      </c>
    </row>
    <row r="8" spans="1:11" s="1" customFormat="1" x14ac:dyDescent="0.2">
      <c r="A8" s="16" t="s">
        <v>50</v>
      </c>
      <c r="B8" s="25">
        <v>41723</v>
      </c>
      <c r="C8" s="26">
        <v>1391</v>
      </c>
      <c r="D8" s="15">
        <f t="shared" si="0"/>
        <v>41723</v>
      </c>
      <c r="E8" s="15">
        <f t="shared" si="0"/>
        <v>1391</v>
      </c>
      <c r="F8" s="15">
        <f t="shared" si="1"/>
        <v>41723</v>
      </c>
      <c r="G8" s="15">
        <f t="shared" si="1"/>
        <v>1391</v>
      </c>
      <c r="H8" s="15">
        <f t="shared" si="2"/>
        <v>41723</v>
      </c>
      <c r="I8" s="15">
        <f t="shared" si="2"/>
        <v>1391</v>
      </c>
      <c r="J8" s="15">
        <f t="shared" si="3"/>
        <v>41723</v>
      </c>
      <c r="K8" s="15">
        <f t="shared" si="3"/>
        <v>1391</v>
      </c>
    </row>
    <row r="9" spans="1:11" s="1" customFormat="1" x14ac:dyDescent="0.2">
      <c r="A9" s="13" t="s">
        <v>51</v>
      </c>
      <c r="B9" s="25">
        <v>46083</v>
      </c>
      <c r="C9" s="26">
        <v>1536</v>
      </c>
      <c r="D9" s="15">
        <f t="shared" si="0"/>
        <v>46083</v>
      </c>
      <c r="E9" s="15">
        <f t="shared" si="0"/>
        <v>1536</v>
      </c>
      <c r="F9" s="15">
        <f t="shared" si="1"/>
        <v>46083</v>
      </c>
      <c r="G9" s="15">
        <f t="shared" si="1"/>
        <v>1536</v>
      </c>
      <c r="H9" s="15">
        <f t="shared" si="2"/>
        <v>46083</v>
      </c>
      <c r="I9" s="15">
        <f t="shared" si="2"/>
        <v>1536</v>
      </c>
      <c r="J9" s="15">
        <f t="shared" si="3"/>
        <v>46083</v>
      </c>
      <c r="K9" s="15">
        <f t="shared" si="3"/>
        <v>1536</v>
      </c>
    </row>
    <row r="10" spans="1:11" s="1" customFormat="1" x14ac:dyDescent="0.2">
      <c r="A10" s="16" t="s">
        <v>52</v>
      </c>
      <c r="B10" s="25">
        <v>50748</v>
      </c>
      <c r="C10" s="26">
        <v>1692</v>
      </c>
      <c r="D10" s="15">
        <f t="shared" si="0"/>
        <v>50748</v>
      </c>
      <c r="E10" s="15">
        <f t="shared" si="0"/>
        <v>1692</v>
      </c>
      <c r="F10" s="15">
        <f t="shared" si="1"/>
        <v>50748</v>
      </c>
      <c r="G10" s="15">
        <f t="shared" si="1"/>
        <v>1692</v>
      </c>
      <c r="H10" s="15">
        <f t="shared" si="2"/>
        <v>50748</v>
      </c>
      <c r="I10" s="15">
        <f t="shared" si="2"/>
        <v>1692</v>
      </c>
      <c r="J10" s="15">
        <f t="shared" si="3"/>
        <v>50748</v>
      </c>
      <c r="K10" s="15">
        <f t="shared" si="3"/>
        <v>1692</v>
      </c>
    </row>
    <row r="11" spans="1:11" s="1" customFormat="1" x14ac:dyDescent="0.2">
      <c r="A11" s="13" t="s">
        <v>53</v>
      </c>
      <c r="B11" s="25">
        <v>55756</v>
      </c>
      <c r="C11" s="26">
        <v>1859</v>
      </c>
      <c r="D11" s="15">
        <f t="shared" si="0"/>
        <v>55756</v>
      </c>
      <c r="E11" s="15">
        <f t="shared" si="0"/>
        <v>1859</v>
      </c>
      <c r="F11" s="15">
        <f t="shared" si="1"/>
        <v>55756</v>
      </c>
      <c r="G11" s="15">
        <f t="shared" si="1"/>
        <v>1859</v>
      </c>
      <c r="H11" s="15">
        <f t="shared" si="2"/>
        <v>55756</v>
      </c>
      <c r="I11" s="15">
        <f t="shared" si="2"/>
        <v>1859</v>
      </c>
      <c r="J11" s="15">
        <f t="shared" si="3"/>
        <v>55756</v>
      </c>
      <c r="K11" s="15">
        <f t="shared" si="3"/>
        <v>1859</v>
      </c>
    </row>
    <row r="12" spans="1:11" s="1" customFormat="1" x14ac:dyDescent="0.2">
      <c r="A12" s="16" t="s">
        <v>54</v>
      </c>
      <c r="B12" s="25">
        <v>66829</v>
      </c>
      <c r="C12" s="26">
        <v>2228</v>
      </c>
      <c r="D12" s="15">
        <f t="shared" si="0"/>
        <v>66829</v>
      </c>
      <c r="E12" s="15">
        <f t="shared" si="0"/>
        <v>2228</v>
      </c>
      <c r="F12" s="15">
        <f t="shared" si="1"/>
        <v>66829</v>
      </c>
      <c r="G12" s="15">
        <f t="shared" si="1"/>
        <v>2228</v>
      </c>
      <c r="H12" s="15">
        <f t="shared" si="2"/>
        <v>66829</v>
      </c>
      <c r="I12" s="15">
        <f t="shared" si="2"/>
        <v>2228</v>
      </c>
      <c r="J12" s="15">
        <f t="shared" si="3"/>
        <v>66829</v>
      </c>
      <c r="K12" s="15">
        <f t="shared" si="3"/>
        <v>2228</v>
      </c>
    </row>
    <row r="13" spans="1:11" s="1" customFormat="1" x14ac:dyDescent="0.2">
      <c r="A13" s="18" t="s">
        <v>55</v>
      </c>
      <c r="B13" s="25">
        <v>79468</v>
      </c>
      <c r="C13" s="26">
        <v>2649</v>
      </c>
      <c r="D13" s="15">
        <f>ROUND(B13+(B13*$K$17),0)</f>
        <v>79468</v>
      </c>
      <c r="E13" s="15">
        <f>ROUND(C13+(C13*$K$17),0)</f>
        <v>2649</v>
      </c>
      <c r="F13" s="15">
        <f>ROUND(D13+(D13*$K$18),0)</f>
        <v>79468</v>
      </c>
      <c r="G13" s="15">
        <f>ROUND(E13+(E13*$K$18),0)</f>
        <v>2649</v>
      </c>
      <c r="H13" s="15">
        <f>ROUND(F13+(F13*$K$19),0)</f>
        <v>79468</v>
      </c>
      <c r="I13" s="15">
        <f>ROUND(G13+(G13*$K$19),0)</f>
        <v>2649</v>
      </c>
      <c r="J13" s="15">
        <f>ROUND(H13+(H13*$K$20),0)</f>
        <v>79468</v>
      </c>
      <c r="K13" s="15">
        <f>ROUND(I13+(I13*$K$20),0)</f>
        <v>2649</v>
      </c>
    </row>
    <row r="14" spans="1:11" s="1" customFormat="1" x14ac:dyDescent="0.2">
      <c r="A14" s="18" t="s">
        <v>100</v>
      </c>
      <c r="B14" s="25">
        <v>93907</v>
      </c>
      <c r="C14" s="26">
        <v>3130</v>
      </c>
      <c r="D14" s="15">
        <f t="shared" si="0"/>
        <v>93907</v>
      </c>
      <c r="E14" s="15">
        <f t="shared" si="0"/>
        <v>3130</v>
      </c>
      <c r="F14" s="15">
        <f t="shared" si="1"/>
        <v>93907</v>
      </c>
      <c r="G14" s="15">
        <f t="shared" si="1"/>
        <v>3130</v>
      </c>
      <c r="H14" s="15">
        <f t="shared" si="2"/>
        <v>93907</v>
      </c>
      <c r="I14" s="15">
        <f t="shared" si="2"/>
        <v>3130</v>
      </c>
      <c r="J14" s="15">
        <f t="shared" si="3"/>
        <v>93907</v>
      </c>
      <c r="K14" s="15">
        <f t="shared" si="3"/>
        <v>3130</v>
      </c>
    </row>
    <row r="15" spans="1:11" s="1" customFormat="1" x14ac:dyDescent="0.2">
      <c r="A15" s="19"/>
      <c r="B15" s="20"/>
      <c r="C15" s="20"/>
      <c r="D15" s="20"/>
      <c r="E15" s="20"/>
      <c r="F15" s="20"/>
      <c r="G15" s="20"/>
      <c r="H15" s="20"/>
      <c r="I15" s="20"/>
      <c r="J15" s="20"/>
      <c r="K15" s="21"/>
    </row>
    <row r="16" spans="1:11" x14ac:dyDescent="0.2">
      <c r="A16" s="2" t="s">
        <v>29</v>
      </c>
      <c r="B16" s="2">
        <f>J2+1</f>
        <v>2026</v>
      </c>
      <c r="C16" s="2" t="s">
        <v>44</v>
      </c>
      <c r="D16" s="6">
        <f>B16+1</f>
        <v>2027</v>
      </c>
      <c r="E16" s="2" t="s">
        <v>44</v>
      </c>
      <c r="F16" s="6">
        <f>D16+1</f>
        <v>2028</v>
      </c>
      <c r="G16" s="2" t="s">
        <v>44</v>
      </c>
      <c r="H16" s="6">
        <f>F16+1</f>
        <v>2029</v>
      </c>
      <c r="I16" s="2" t="s">
        <v>44</v>
      </c>
      <c r="J16" s="2" t="s">
        <v>56</v>
      </c>
      <c r="K16" s="2" t="s">
        <v>57</v>
      </c>
    </row>
    <row r="17" spans="1:11" x14ac:dyDescent="0.2">
      <c r="A17" s="13" t="s">
        <v>45</v>
      </c>
      <c r="B17" s="15">
        <f t="shared" ref="B17:B28" si="4">ROUND(J3+(J3*$K$21),0)</f>
        <v>24216</v>
      </c>
      <c r="C17" s="15">
        <f t="shared" ref="C17:C28" si="5">ROUND(K3+(K3*$K$21),0)</f>
        <v>807</v>
      </c>
      <c r="D17" s="15">
        <f t="shared" ref="D17:E28" si="6">ROUND(B17+(B17*$K$22),0)</f>
        <v>24216</v>
      </c>
      <c r="E17" s="15">
        <f t="shared" si="6"/>
        <v>807</v>
      </c>
      <c r="F17" s="15">
        <f t="shared" ref="F17:G28" si="7">ROUND(D17+(D17*$K$23),0)</f>
        <v>24216</v>
      </c>
      <c r="G17" s="15">
        <f t="shared" si="7"/>
        <v>807</v>
      </c>
      <c r="H17" s="15">
        <f t="shared" ref="H17:I28" si="8">ROUND(F17+(F17*$K$24),0)</f>
        <v>24216</v>
      </c>
      <c r="I17" s="15">
        <f t="shared" si="8"/>
        <v>807</v>
      </c>
      <c r="J17" s="22">
        <f>B2+1</f>
        <v>2022</v>
      </c>
      <c r="K17" s="23">
        <f>IF('Start Page'!B58="N/A",0,'Start Page'!B58)</f>
        <v>0</v>
      </c>
    </row>
    <row r="18" spans="1:11" x14ac:dyDescent="0.2">
      <c r="A18" s="16" t="s">
        <v>46</v>
      </c>
      <c r="B18" s="15">
        <f t="shared" si="4"/>
        <v>27184</v>
      </c>
      <c r="C18" s="15">
        <f t="shared" si="5"/>
        <v>906</v>
      </c>
      <c r="D18" s="15">
        <f t="shared" si="6"/>
        <v>27184</v>
      </c>
      <c r="E18" s="15">
        <f t="shared" si="6"/>
        <v>906</v>
      </c>
      <c r="F18" s="15">
        <f t="shared" si="7"/>
        <v>27184</v>
      </c>
      <c r="G18" s="15">
        <f t="shared" si="7"/>
        <v>906</v>
      </c>
      <c r="H18" s="15">
        <f t="shared" si="8"/>
        <v>27184</v>
      </c>
      <c r="I18" s="15">
        <f t="shared" si="8"/>
        <v>906</v>
      </c>
      <c r="J18" s="24">
        <f>J17+1</f>
        <v>2023</v>
      </c>
      <c r="K18" s="23">
        <f>IF('Start Page'!D58="N/A",0,'Start Page'!D58)</f>
        <v>0</v>
      </c>
    </row>
    <row r="19" spans="1:11" x14ac:dyDescent="0.2">
      <c r="A19" s="13" t="s">
        <v>47</v>
      </c>
      <c r="B19" s="15">
        <f t="shared" si="4"/>
        <v>30414</v>
      </c>
      <c r="C19" s="15">
        <f t="shared" si="5"/>
        <v>1014</v>
      </c>
      <c r="D19" s="15">
        <f t="shared" si="6"/>
        <v>30414</v>
      </c>
      <c r="E19" s="15">
        <f t="shared" si="6"/>
        <v>1014</v>
      </c>
      <c r="F19" s="15">
        <f t="shared" si="7"/>
        <v>30414</v>
      </c>
      <c r="G19" s="15">
        <f t="shared" si="7"/>
        <v>1014</v>
      </c>
      <c r="H19" s="15">
        <f t="shared" si="8"/>
        <v>30414</v>
      </c>
      <c r="I19" s="15">
        <f t="shared" si="8"/>
        <v>1014</v>
      </c>
      <c r="J19" s="24">
        <f t="shared" ref="J19:J24" si="9">J18+1</f>
        <v>2024</v>
      </c>
      <c r="K19" s="23">
        <f>IF('Start Page'!B59="N/A",0,'Start Page'!B59)</f>
        <v>0</v>
      </c>
    </row>
    <row r="20" spans="1:11" x14ac:dyDescent="0.2">
      <c r="A20" s="16" t="s">
        <v>48</v>
      </c>
      <c r="B20" s="15">
        <f t="shared" si="4"/>
        <v>33903</v>
      </c>
      <c r="C20" s="15">
        <f t="shared" si="5"/>
        <v>1130</v>
      </c>
      <c r="D20" s="15">
        <f t="shared" si="6"/>
        <v>33903</v>
      </c>
      <c r="E20" s="15">
        <f t="shared" si="6"/>
        <v>1130</v>
      </c>
      <c r="F20" s="15">
        <f t="shared" si="7"/>
        <v>33903</v>
      </c>
      <c r="G20" s="15">
        <f t="shared" si="7"/>
        <v>1130</v>
      </c>
      <c r="H20" s="15">
        <f t="shared" si="8"/>
        <v>33903</v>
      </c>
      <c r="I20" s="15">
        <f t="shared" si="8"/>
        <v>1130</v>
      </c>
      <c r="J20" s="24">
        <f t="shared" si="9"/>
        <v>2025</v>
      </c>
      <c r="K20" s="23">
        <f>IF('Start Page'!D59="N/A",0,'Start Page'!D59)</f>
        <v>0</v>
      </c>
    </row>
    <row r="21" spans="1:11" x14ac:dyDescent="0.2">
      <c r="A21" s="13" t="s">
        <v>49</v>
      </c>
      <c r="B21" s="15">
        <f t="shared" si="4"/>
        <v>37674</v>
      </c>
      <c r="C21" s="15">
        <f t="shared" si="5"/>
        <v>1256</v>
      </c>
      <c r="D21" s="15">
        <f t="shared" si="6"/>
        <v>37674</v>
      </c>
      <c r="E21" s="15">
        <f t="shared" si="6"/>
        <v>1256</v>
      </c>
      <c r="F21" s="15">
        <f t="shared" si="7"/>
        <v>37674</v>
      </c>
      <c r="G21" s="15">
        <f t="shared" si="7"/>
        <v>1256</v>
      </c>
      <c r="H21" s="15">
        <f t="shared" si="8"/>
        <v>37674</v>
      </c>
      <c r="I21" s="15">
        <f t="shared" si="8"/>
        <v>1256</v>
      </c>
      <c r="J21" s="24">
        <f t="shared" si="9"/>
        <v>2026</v>
      </c>
      <c r="K21" s="23">
        <f>IF('Start Page'!B60="N/A",0,'Start Page'!B60)</f>
        <v>0</v>
      </c>
    </row>
    <row r="22" spans="1:11" x14ac:dyDescent="0.2">
      <c r="A22" s="16" t="s">
        <v>50</v>
      </c>
      <c r="B22" s="15">
        <f t="shared" si="4"/>
        <v>41723</v>
      </c>
      <c r="C22" s="15">
        <f t="shared" si="5"/>
        <v>1391</v>
      </c>
      <c r="D22" s="15">
        <f t="shared" si="6"/>
        <v>41723</v>
      </c>
      <c r="E22" s="15">
        <f t="shared" si="6"/>
        <v>1391</v>
      </c>
      <c r="F22" s="15">
        <f t="shared" si="7"/>
        <v>41723</v>
      </c>
      <c r="G22" s="15">
        <f t="shared" si="7"/>
        <v>1391</v>
      </c>
      <c r="H22" s="15">
        <f t="shared" si="8"/>
        <v>41723</v>
      </c>
      <c r="I22" s="15">
        <f t="shared" si="8"/>
        <v>1391</v>
      </c>
      <c r="J22" s="24">
        <f t="shared" si="9"/>
        <v>2027</v>
      </c>
      <c r="K22" s="23">
        <f>IF('Start Page'!D60="N/A",0,'Start Page'!D60)</f>
        <v>0</v>
      </c>
    </row>
    <row r="23" spans="1:11" x14ac:dyDescent="0.2">
      <c r="A23" s="13" t="s">
        <v>51</v>
      </c>
      <c r="B23" s="15">
        <f t="shared" si="4"/>
        <v>46083</v>
      </c>
      <c r="C23" s="15">
        <f t="shared" si="5"/>
        <v>1536</v>
      </c>
      <c r="D23" s="15">
        <f t="shared" si="6"/>
        <v>46083</v>
      </c>
      <c r="E23" s="15">
        <f t="shared" si="6"/>
        <v>1536</v>
      </c>
      <c r="F23" s="15">
        <f t="shared" si="7"/>
        <v>46083</v>
      </c>
      <c r="G23" s="15">
        <f t="shared" si="7"/>
        <v>1536</v>
      </c>
      <c r="H23" s="15">
        <f t="shared" si="8"/>
        <v>46083</v>
      </c>
      <c r="I23" s="15">
        <f t="shared" si="8"/>
        <v>1536</v>
      </c>
      <c r="J23" s="24">
        <f t="shared" si="9"/>
        <v>2028</v>
      </c>
      <c r="K23" s="23">
        <f>IF('Start Page'!B61="N/A",0,'Start Page'!B61)</f>
        <v>0</v>
      </c>
    </row>
    <row r="24" spans="1:11" x14ac:dyDescent="0.2">
      <c r="A24" s="16" t="s">
        <v>52</v>
      </c>
      <c r="B24" s="15">
        <f t="shared" si="4"/>
        <v>50748</v>
      </c>
      <c r="C24" s="15">
        <f t="shared" si="5"/>
        <v>1692</v>
      </c>
      <c r="D24" s="15">
        <f t="shared" si="6"/>
        <v>50748</v>
      </c>
      <c r="E24" s="15">
        <f t="shared" si="6"/>
        <v>1692</v>
      </c>
      <c r="F24" s="15">
        <f t="shared" si="7"/>
        <v>50748</v>
      </c>
      <c r="G24" s="15">
        <f t="shared" si="7"/>
        <v>1692</v>
      </c>
      <c r="H24" s="15">
        <f t="shared" si="8"/>
        <v>50748</v>
      </c>
      <c r="I24" s="15">
        <f t="shared" si="8"/>
        <v>1692</v>
      </c>
      <c r="J24" s="24">
        <f t="shared" si="9"/>
        <v>2029</v>
      </c>
      <c r="K24" s="23">
        <f>IF('Start Page'!D61="N/A",0,'Start Page'!D61)</f>
        <v>0</v>
      </c>
    </row>
    <row r="25" spans="1:11" x14ac:dyDescent="0.2">
      <c r="A25" s="13" t="s">
        <v>53</v>
      </c>
      <c r="B25" s="15">
        <f t="shared" si="4"/>
        <v>55756</v>
      </c>
      <c r="C25" s="15">
        <f t="shared" si="5"/>
        <v>1859</v>
      </c>
      <c r="D25" s="15">
        <f t="shared" si="6"/>
        <v>55756</v>
      </c>
      <c r="E25" s="15">
        <f t="shared" si="6"/>
        <v>1859</v>
      </c>
      <c r="F25" s="15">
        <f t="shared" si="7"/>
        <v>55756</v>
      </c>
      <c r="G25" s="15">
        <f t="shared" si="7"/>
        <v>1859</v>
      </c>
      <c r="H25" s="15">
        <f t="shared" si="8"/>
        <v>55756</v>
      </c>
      <c r="I25" s="15">
        <f t="shared" si="8"/>
        <v>1859</v>
      </c>
      <c r="J25" s="14"/>
      <c r="K25" s="14"/>
    </row>
    <row r="26" spans="1:11" x14ac:dyDescent="0.2">
      <c r="A26" s="16" t="s">
        <v>54</v>
      </c>
      <c r="B26" s="15">
        <f t="shared" si="4"/>
        <v>66829</v>
      </c>
      <c r="C26" s="15">
        <f t="shared" si="5"/>
        <v>2228</v>
      </c>
      <c r="D26" s="15">
        <f t="shared" si="6"/>
        <v>66829</v>
      </c>
      <c r="E26" s="15">
        <f t="shared" si="6"/>
        <v>2228</v>
      </c>
      <c r="F26" s="15">
        <f t="shared" si="7"/>
        <v>66829</v>
      </c>
      <c r="G26" s="15">
        <f t="shared" si="7"/>
        <v>2228</v>
      </c>
      <c r="H26" s="15">
        <f t="shared" si="8"/>
        <v>66829</v>
      </c>
      <c r="I26" s="15">
        <f t="shared" si="8"/>
        <v>2228</v>
      </c>
      <c r="J26" s="17"/>
      <c r="K26" s="17"/>
    </row>
    <row r="27" spans="1:11" x14ac:dyDescent="0.2">
      <c r="A27" s="13" t="s">
        <v>55</v>
      </c>
      <c r="B27" s="15">
        <f t="shared" si="4"/>
        <v>79468</v>
      </c>
      <c r="C27" s="15">
        <f t="shared" si="5"/>
        <v>2649</v>
      </c>
      <c r="D27" s="15">
        <f>ROUND(B27+(B27*$K$22),0)</f>
        <v>79468</v>
      </c>
      <c r="E27" s="15">
        <f>ROUND(C27+(C27*$K$22),0)</f>
        <v>2649</v>
      </c>
      <c r="F27" s="15">
        <f>ROUND(D27+(D27*$K$23),0)</f>
        <v>79468</v>
      </c>
      <c r="G27" s="15">
        <f>ROUND(E27+(E27*$K$23),0)</f>
        <v>2649</v>
      </c>
      <c r="H27" s="15">
        <f>ROUND(F27+(F27*$K$24),0)</f>
        <v>79468</v>
      </c>
      <c r="I27" s="15">
        <f>ROUND(G27+(G27*$K$24),0)</f>
        <v>2649</v>
      </c>
      <c r="J27" s="17"/>
      <c r="K27" s="17"/>
    </row>
    <row r="28" spans="1:11" x14ac:dyDescent="0.2">
      <c r="A28" s="13" t="s">
        <v>100</v>
      </c>
      <c r="B28" s="15">
        <f t="shared" si="4"/>
        <v>93907</v>
      </c>
      <c r="C28" s="15">
        <f t="shared" si="5"/>
        <v>3130</v>
      </c>
      <c r="D28" s="15">
        <f t="shared" si="6"/>
        <v>93907</v>
      </c>
      <c r="E28" s="15">
        <f t="shared" si="6"/>
        <v>3130</v>
      </c>
      <c r="F28" s="15">
        <f t="shared" si="7"/>
        <v>93907</v>
      </c>
      <c r="G28" s="15">
        <f t="shared" si="7"/>
        <v>3130</v>
      </c>
      <c r="H28" s="15">
        <f t="shared" si="8"/>
        <v>93907</v>
      </c>
      <c r="I28" s="15">
        <f t="shared" si="8"/>
        <v>3130</v>
      </c>
      <c r="J28" s="14"/>
      <c r="K28" s="14"/>
    </row>
    <row r="30" spans="1:11" x14ac:dyDescent="0.2">
      <c r="A30" s="9" t="s">
        <v>37</v>
      </c>
    </row>
    <row r="31" spans="1:11" x14ac:dyDescent="0.2">
      <c r="A31" s="9">
        <v>84</v>
      </c>
    </row>
    <row r="32" spans="1:11" x14ac:dyDescent="0.2">
      <c r="A32" s="9">
        <v>72</v>
      </c>
    </row>
    <row r="33" spans="1:1" x14ac:dyDescent="0.2">
      <c r="A33" s="9">
        <v>60</v>
      </c>
    </row>
    <row r="34" spans="1:1" x14ac:dyDescent="0.2">
      <c r="A34" s="9">
        <v>56</v>
      </c>
    </row>
    <row r="35" spans="1:1" x14ac:dyDescent="0.2">
      <c r="A35" s="9">
        <v>53</v>
      </c>
    </row>
    <row r="36" spans="1:1" x14ac:dyDescent="0.2">
      <c r="A36" s="9" t="s">
        <v>81</v>
      </c>
    </row>
    <row r="37" spans="1:1" x14ac:dyDescent="0.2">
      <c r="A37" s="11" t="s">
        <v>89</v>
      </c>
    </row>
    <row r="38" spans="1:1" x14ac:dyDescent="0.2">
      <c r="A38" s="11" t="s">
        <v>90</v>
      </c>
    </row>
  </sheetData>
  <sheetProtection algorithmName="SHA-512" hashValue="ZFMWV5mluTssfclqxVP46C8quD+t52ouAnUaJX/A47RPtO8i3zyw484mLS2hBDqw/6k11ndLr/pJxTLES5HlFA==" saltValue="GD7dTWiEDNJ9RJVlW/7zUw==" spinCount="100000" sheet="1" objects="1" scenarios="1"/>
  <mergeCells count="1">
    <mergeCell ref="B1:K1"/>
  </mergeCells>
  <phoneticPr fontId="0" type="noConversion"/>
  <printOptions horizontalCentered="1"/>
  <pageMargins left="0.75" right="0.75" top="1" bottom="1" header="0.5" footer="0.5"/>
  <pageSetup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
  <sheetViews>
    <sheetView workbookViewId="0">
      <selection activeCell="A2" sqref="A2"/>
    </sheetView>
  </sheetViews>
  <sheetFormatPr defaultRowHeight="12.75" x14ac:dyDescent="0.2"/>
  <cols>
    <col min="1" max="11" width="9.140625" style="7"/>
  </cols>
  <sheetData>
    <row r="1" spans="1:11" s="1" customFormat="1" x14ac:dyDescent="0.2">
      <c r="A1" s="11"/>
      <c r="B1" s="11"/>
      <c r="C1" s="11"/>
      <c r="D1" s="11"/>
      <c r="E1" s="8" t="s">
        <v>58</v>
      </c>
      <c r="F1" s="11"/>
      <c r="G1" s="11"/>
      <c r="H1" s="5"/>
      <c r="I1" s="11"/>
      <c r="J1" s="11"/>
      <c r="K1" s="11"/>
    </row>
    <row r="2" spans="1:11" s="1" customFormat="1" ht="12.75" customHeight="1" x14ac:dyDescent="0.2">
      <c r="A2" s="38" t="s">
        <v>27</v>
      </c>
      <c r="B2" s="166" t="s">
        <v>28</v>
      </c>
      <c r="C2" s="167"/>
      <c r="D2" s="167"/>
      <c r="E2" s="167"/>
      <c r="F2" s="167"/>
      <c r="G2" s="167"/>
      <c r="H2" s="167"/>
      <c r="I2" s="167"/>
      <c r="J2" s="167"/>
      <c r="K2" s="168"/>
    </row>
    <row r="3" spans="1:11" s="1" customFormat="1" x14ac:dyDescent="0.2">
      <c r="A3" s="2" t="s">
        <v>29</v>
      </c>
      <c r="B3" s="3">
        <v>1</v>
      </c>
      <c r="C3" s="3">
        <v>2</v>
      </c>
      <c r="D3" s="3">
        <v>3</v>
      </c>
      <c r="E3" s="3">
        <v>4</v>
      </c>
      <c r="F3" s="3">
        <v>5</v>
      </c>
      <c r="G3" s="3">
        <v>6</v>
      </c>
      <c r="H3" s="3">
        <v>7</v>
      </c>
      <c r="I3" s="3">
        <v>8</v>
      </c>
      <c r="J3" s="3">
        <v>9</v>
      </c>
      <c r="K3" s="3">
        <v>10</v>
      </c>
    </row>
    <row r="4" spans="1:11" s="1" customFormat="1" x14ac:dyDescent="0.2">
      <c r="A4" s="4">
        <v>3</v>
      </c>
      <c r="B4" s="15">
        <f>'GS Pay Calculator'!H17</f>
        <v>24216</v>
      </c>
      <c r="C4" s="15">
        <f>B4+'GS Pay Calculator'!$I17</f>
        <v>25023</v>
      </c>
      <c r="D4" s="15">
        <f>C4+'GS Pay Calculator'!$I17</f>
        <v>25830</v>
      </c>
      <c r="E4" s="15">
        <f>D4+'GS Pay Calculator'!$I17</f>
        <v>26637</v>
      </c>
      <c r="F4" s="15">
        <f>E4+'GS Pay Calculator'!$I17</f>
        <v>27444</v>
      </c>
      <c r="G4" s="15">
        <f>F4+'GS Pay Calculator'!$I17</f>
        <v>28251</v>
      </c>
      <c r="H4" s="15">
        <f>G4+'GS Pay Calculator'!$I17</f>
        <v>29058</v>
      </c>
      <c r="I4" s="15">
        <f>H4+'GS Pay Calculator'!$I17</f>
        <v>29865</v>
      </c>
      <c r="J4" s="15">
        <f>I4+'GS Pay Calculator'!$I17</f>
        <v>30672</v>
      </c>
      <c r="K4" s="15">
        <f>J4+'GS Pay Calculator'!$I17</f>
        <v>31479</v>
      </c>
    </row>
    <row r="5" spans="1:11" s="1" customFormat="1" x14ac:dyDescent="0.2">
      <c r="A5" s="4">
        <v>4</v>
      </c>
      <c r="B5" s="15">
        <f>'GS Pay Calculator'!H18</f>
        <v>27184</v>
      </c>
      <c r="C5" s="15">
        <f>B5+'GS Pay Calculator'!$I18</f>
        <v>28090</v>
      </c>
      <c r="D5" s="15">
        <f>C5+'GS Pay Calculator'!$I18</f>
        <v>28996</v>
      </c>
      <c r="E5" s="15">
        <f>D5+'GS Pay Calculator'!$I18</f>
        <v>29902</v>
      </c>
      <c r="F5" s="15">
        <f>E5+'GS Pay Calculator'!$I18</f>
        <v>30808</v>
      </c>
      <c r="G5" s="15">
        <f>F5+'GS Pay Calculator'!$I18</f>
        <v>31714</v>
      </c>
      <c r="H5" s="15">
        <f>G5+'GS Pay Calculator'!$I18</f>
        <v>32620</v>
      </c>
      <c r="I5" s="15">
        <f>H5+'GS Pay Calculator'!$I18</f>
        <v>33526</v>
      </c>
      <c r="J5" s="15">
        <f>I5+'GS Pay Calculator'!$I18</f>
        <v>34432</v>
      </c>
      <c r="K5" s="15">
        <f>J5+'GS Pay Calculator'!$I18</f>
        <v>35338</v>
      </c>
    </row>
    <row r="6" spans="1:11" s="1" customFormat="1" x14ac:dyDescent="0.2">
      <c r="A6" s="4">
        <v>5</v>
      </c>
      <c r="B6" s="15">
        <f>'GS Pay Calculator'!H19</f>
        <v>30414</v>
      </c>
      <c r="C6" s="15">
        <f>B6+'GS Pay Calculator'!$I19</f>
        <v>31428</v>
      </c>
      <c r="D6" s="15">
        <f>C6+'GS Pay Calculator'!$I19</f>
        <v>32442</v>
      </c>
      <c r="E6" s="15">
        <f>D6+'GS Pay Calculator'!$I19</f>
        <v>33456</v>
      </c>
      <c r="F6" s="15">
        <f>E6+'GS Pay Calculator'!$I19</f>
        <v>34470</v>
      </c>
      <c r="G6" s="15">
        <f>F6+'GS Pay Calculator'!$I19</f>
        <v>35484</v>
      </c>
      <c r="H6" s="15">
        <f>G6+'GS Pay Calculator'!$I19</f>
        <v>36498</v>
      </c>
      <c r="I6" s="15">
        <f>H6+'GS Pay Calculator'!$I19</f>
        <v>37512</v>
      </c>
      <c r="J6" s="15">
        <f>I6+'GS Pay Calculator'!$I19</f>
        <v>38526</v>
      </c>
      <c r="K6" s="15">
        <f>J6+'GS Pay Calculator'!$I19</f>
        <v>39540</v>
      </c>
    </row>
    <row r="7" spans="1:11" s="1" customFormat="1" x14ac:dyDescent="0.2">
      <c r="A7" s="4">
        <v>6</v>
      </c>
      <c r="B7" s="15">
        <f>'GS Pay Calculator'!H20</f>
        <v>33903</v>
      </c>
      <c r="C7" s="15">
        <f>B7+'GS Pay Calculator'!$I20</f>
        <v>35033</v>
      </c>
      <c r="D7" s="15">
        <f>C7+'GS Pay Calculator'!$I20</f>
        <v>36163</v>
      </c>
      <c r="E7" s="15">
        <f>D7+'GS Pay Calculator'!$I20</f>
        <v>37293</v>
      </c>
      <c r="F7" s="15">
        <f>E7+'GS Pay Calculator'!$I20</f>
        <v>38423</v>
      </c>
      <c r="G7" s="15">
        <f>F7+'GS Pay Calculator'!$I20</f>
        <v>39553</v>
      </c>
      <c r="H7" s="15">
        <f>G7+'GS Pay Calculator'!$I20</f>
        <v>40683</v>
      </c>
      <c r="I7" s="15">
        <f>H7+'GS Pay Calculator'!$I20</f>
        <v>41813</v>
      </c>
      <c r="J7" s="15">
        <f>I7+'GS Pay Calculator'!$I20</f>
        <v>42943</v>
      </c>
      <c r="K7" s="15">
        <f>J7+'GS Pay Calculator'!$I20</f>
        <v>44073</v>
      </c>
    </row>
    <row r="8" spans="1:11" s="1" customFormat="1" x14ac:dyDescent="0.2">
      <c r="A8" s="4">
        <v>7</v>
      </c>
      <c r="B8" s="15">
        <f>'GS Pay Calculator'!H21</f>
        <v>37674</v>
      </c>
      <c r="C8" s="15">
        <f>B8+'GS Pay Calculator'!$I21</f>
        <v>38930</v>
      </c>
      <c r="D8" s="15">
        <f>C8+'GS Pay Calculator'!$I21</f>
        <v>40186</v>
      </c>
      <c r="E8" s="15">
        <f>D8+'GS Pay Calculator'!$I21</f>
        <v>41442</v>
      </c>
      <c r="F8" s="15">
        <f>E8+'GS Pay Calculator'!$I21</f>
        <v>42698</v>
      </c>
      <c r="G8" s="15">
        <f>F8+'GS Pay Calculator'!$I21</f>
        <v>43954</v>
      </c>
      <c r="H8" s="15">
        <f>G8+'GS Pay Calculator'!$I21</f>
        <v>45210</v>
      </c>
      <c r="I8" s="15">
        <f>H8+'GS Pay Calculator'!$I21</f>
        <v>46466</v>
      </c>
      <c r="J8" s="15">
        <f>I8+'GS Pay Calculator'!$I21</f>
        <v>47722</v>
      </c>
      <c r="K8" s="15">
        <f>J8+'GS Pay Calculator'!$I21</f>
        <v>48978</v>
      </c>
    </row>
    <row r="9" spans="1:11" s="1" customFormat="1" x14ac:dyDescent="0.2">
      <c r="A9" s="4">
        <v>8</v>
      </c>
      <c r="B9" s="15">
        <f>'GS Pay Calculator'!H22</f>
        <v>41723</v>
      </c>
      <c r="C9" s="15">
        <f>B9+'GS Pay Calculator'!$I22</f>
        <v>43114</v>
      </c>
      <c r="D9" s="15">
        <f>C9+'GS Pay Calculator'!$I22</f>
        <v>44505</v>
      </c>
      <c r="E9" s="15">
        <f>D9+'GS Pay Calculator'!$I22</f>
        <v>45896</v>
      </c>
      <c r="F9" s="15">
        <f>E9+'GS Pay Calculator'!$I22</f>
        <v>47287</v>
      </c>
      <c r="G9" s="15">
        <f>F9+'GS Pay Calculator'!$I22</f>
        <v>48678</v>
      </c>
      <c r="H9" s="15">
        <f>G9+'GS Pay Calculator'!$I22</f>
        <v>50069</v>
      </c>
      <c r="I9" s="15">
        <f>H9+'GS Pay Calculator'!$I22</f>
        <v>51460</v>
      </c>
      <c r="J9" s="15">
        <f>I9+'GS Pay Calculator'!$I22</f>
        <v>52851</v>
      </c>
      <c r="K9" s="15">
        <f>J9+'GS Pay Calculator'!$I22</f>
        <v>54242</v>
      </c>
    </row>
    <row r="10" spans="1:11" s="1" customFormat="1" x14ac:dyDescent="0.2">
      <c r="A10" s="4">
        <v>9</v>
      </c>
      <c r="B10" s="15">
        <f>'GS Pay Calculator'!H23</f>
        <v>46083</v>
      </c>
      <c r="C10" s="15">
        <f>B10+'GS Pay Calculator'!$I23</f>
        <v>47619</v>
      </c>
      <c r="D10" s="15">
        <f>C10+'GS Pay Calculator'!$I23</f>
        <v>49155</v>
      </c>
      <c r="E10" s="15">
        <f>D10+'GS Pay Calculator'!$I23</f>
        <v>50691</v>
      </c>
      <c r="F10" s="15">
        <f>E10+'GS Pay Calculator'!$I23</f>
        <v>52227</v>
      </c>
      <c r="G10" s="15">
        <f>F10+'GS Pay Calculator'!$I23</f>
        <v>53763</v>
      </c>
      <c r="H10" s="15">
        <f>G10+'GS Pay Calculator'!$I23</f>
        <v>55299</v>
      </c>
      <c r="I10" s="15">
        <f>H10+'GS Pay Calculator'!$I23</f>
        <v>56835</v>
      </c>
      <c r="J10" s="15">
        <f>I10+'GS Pay Calculator'!$I23</f>
        <v>58371</v>
      </c>
      <c r="K10" s="15">
        <f>J10+'GS Pay Calculator'!$I23</f>
        <v>59907</v>
      </c>
    </row>
    <row r="11" spans="1:11" s="1" customFormat="1" x14ac:dyDescent="0.2">
      <c r="A11" s="4">
        <v>10</v>
      </c>
      <c r="B11" s="15">
        <f>'GS Pay Calculator'!H24</f>
        <v>50748</v>
      </c>
      <c r="C11" s="15">
        <f>B11+'GS Pay Calculator'!$I24</f>
        <v>52440</v>
      </c>
      <c r="D11" s="15">
        <f>C11+'GS Pay Calculator'!$I24</f>
        <v>54132</v>
      </c>
      <c r="E11" s="15">
        <f>D11+'GS Pay Calculator'!$I24</f>
        <v>55824</v>
      </c>
      <c r="F11" s="15">
        <f>E11+'GS Pay Calculator'!$I24</f>
        <v>57516</v>
      </c>
      <c r="G11" s="15">
        <f>F11+'GS Pay Calculator'!$I24</f>
        <v>59208</v>
      </c>
      <c r="H11" s="15">
        <f>G11+'GS Pay Calculator'!$I24</f>
        <v>60900</v>
      </c>
      <c r="I11" s="15">
        <f>H11+'GS Pay Calculator'!$I24</f>
        <v>62592</v>
      </c>
      <c r="J11" s="15">
        <f>I11+'GS Pay Calculator'!$I24</f>
        <v>64284</v>
      </c>
      <c r="K11" s="15">
        <f>J11+'GS Pay Calculator'!$I24</f>
        <v>65976</v>
      </c>
    </row>
    <row r="12" spans="1:11" s="1" customFormat="1" x14ac:dyDescent="0.2">
      <c r="A12" s="4">
        <v>11</v>
      </c>
      <c r="B12" s="15">
        <f>'GS Pay Calculator'!H25</f>
        <v>55756</v>
      </c>
      <c r="C12" s="15">
        <f>B12+'GS Pay Calculator'!$I25</f>
        <v>57615</v>
      </c>
      <c r="D12" s="15">
        <f>C12+'GS Pay Calculator'!$I25</f>
        <v>59474</v>
      </c>
      <c r="E12" s="15">
        <f>D12+'GS Pay Calculator'!$I25</f>
        <v>61333</v>
      </c>
      <c r="F12" s="15">
        <f>E12+'GS Pay Calculator'!$I25</f>
        <v>63192</v>
      </c>
      <c r="G12" s="15">
        <f>F12+'GS Pay Calculator'!$I25</f>
        <v>65051</v>
      </c>
      <c r="H12" s="15">
        <f>G12+'GS Pay Calculator'!$I25</f>
        <v>66910</v>
      </c>
      <c r="I12" s="15">
        <f>H12+'GS Pay Calculator'!$I25</f>
        <v>68769</v>
      </c>
      <c r="J12" s="15">
        <f>I12+'GS Pay Calculator'!$I25</f>
        <v>70628</v>
      </c>
      <c r="K12" s="15">
        <f>J12+'GS Pay Calculator'!$I25</f>
        <v>72487</v>
      </c>
    </row>
    <row r="13" spans="1:11" s="1" customFormat="1" x14ac:dyDescent="0.2">
      <c r="A13" s="4">
        <v>12</v>
      </c>
      <c r="B13" s="15">
        <f>'GS Pay Calculator'!H26</f>
        <v>66829</v>
      </c>
      <c r="C13" s="15">
        <f>B13+'GS Pay Calculator'!$I26</f>
        <v>69057</v>
      </c>
      <c r="D13" s="15">
        <f>C13+'GS Pay Calculator'!$I26</f>
        <v>71285</v>
      </c>
      <c r="E13" s="15">
        <f>D13+'GS Pay Calculator'!$I26</f>
        <v>73513</v>
      </c>
      <c r="F13" s="15">
        <f>E13+'GS Pay Calculator'!$I26</f>
        <v>75741</v>
      </c>
      <c r="G13" s="15">
        <f>F13+'GS Pay Calculator'!$I26</f>
        <v>77969</v>
      </c>
      <c r="H13" s="15">
        <f>G13+'GS Pay Calculator'!$I26</f>
        <v>80197</v>
      </c>
      <c r="I13" s="15">
        <f>H13+'GS Pay Calculator'!$I26</f>
        <v>82425</v>
      </c>
      <c r="J13" s="15">
        <f>I13+'GS Pay Calculator'!$I26</f>
        <v>84653</v>
      </c>
      <c r="K13" s="15">
        <f>J13+'GS Pay Calculator'!$I26</f>
        <v>86881</v>
      </c>
    </row>
    <row r="14" spans="1:11" s="1" customFormat="1" x14ac:dyDescent="0.2">
      <c r="A14" s="4">
        <v>13</v>
      </c>
      <c r="B14" s="15">
        <f>'GS Pay Calculator'!H27</f>
        <v>79468</v>
      </c>
      <c r="C14" s="15">
        <f>B14+'GS Pay Calculator'!$I27</f>
        <v>82117</v>
      </c>
      <c r="D14" s="15">
        <f>C14+'GS Pay Calculator'!$I27</f>
        <v>84766</v>
      </c>
      <c r="E14" s="15">
        <f>D14+'GS Pay Calculator'!$I27</f>
        <v>87415</v>
      </c>
      <c r="F14" s="15">
        <f>E14+'GS Pay Calculator'!$I27</f>
        <v>90064</v>
      </c>
      <c r="G14" s="15">
        <f>F14+'GS Pay Calculator'!$I27</f>
        <v>92713</v>
      </c>
      <c r="H14" s="15">
        <f>G14+'GS Pay Calculator'!$I27</f>
        <v>95362</v>
      </c>
      <c r="I14" s="15">
        <f>H14+'GS Pay Calculator'!$I27</f>
        <v>98011</v>
      </c>
      <c r="J14" s="15">
        <f>I14+'GS Pay Calculator'!$I27</f>
        <v>100660</v>
      </c>
      <c r="K14" s="15">
        <f>J14+'GS Pay Calculator'!$I27</f>
        <v>103309</v>
      </c>
    </row>
    <row r="15" spans="1:11" s="1" customFormat="1" x14ac:dyDescent="0.2">
      <c r="A15" s="4">
        <v>14</v>
      </c>
      <c r="B15" s="15">
        <f>'GS Pay Calculator'!H28</f>
        <v>93907</v>
      </c>
      <c r="C15" s="15">
        <f>B15+'GS Pay Calculator'!$I28</f>
        <v>97037</v>
      </c>
      <c r="D15" s="15">
        <f>C15+'GS Pay Calculator'!$I28</f>
        <v>100167</v>
      </c>
      <c r="E15" s="15">
        <f>D15+'GS Pay Calculator'!$I28</f>
        <v>103297</v>
      </c>
      <c r="F15" s="15">
        <f>E15+'GS Pay Calculator'!$I28</f>
        <v>106427</v>
      </c>
      <c r="G15" s="15">
        <f>F15+'GS Pay Calculator'!$I28</f>
        <v>109557</v>
      </c>
      <c r="H15" s="15">
        <f>G15+'GS Pay Calculator'!$I28</f>
        <v>112687</v>
      </c>
      <c r="I15" s="15">
        <f>H15+'GS Pay Calculator'!$I28</f>
        <v>115817</v>
      </c>
      <c r="J15" s="15">
        <f>I15+'GS Pay Calculator'!$I28</f>
        <v>118947</v>
      </c>
      <c r="K15" s="15">
        <f>J15+'GS Pay Calculator'!$I28</f>
        <v>122077</v>
      </c>
    </row>
  </sheetData>
  <sheetProtection algorithmName="SHA-512" hashValue="n1s1mnvouoN6YbqNsFSRcOEkkKQ1lKtqi8d+nzZA0n6BcC2HvS+2bNmqig5TGz7q0jvRL60qDMUpNMa5RaNEMA==" saltValue="XN9uhJNNVg4nsMmiuUL8LQ==" spinCount="100000" sheet="1" objects="1" scenarios="1"/>
  <mergeCells count="1">
    <mergeCell ref="B2:K2"/>
  </mergeCells>
  <phoneticPr fontId="0" type="noConversion"/>
  <printOptions horizontalCentered="1"/>
  <pageMargins left="0.75" right="0.75" top="1" bottom="1" header="0.5" footer="0.5"/>
  <pageSetup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7"/>
  <sheetViews>
    <sheetView showGridLines="0" zoomScaleNormal="100" workbookViewId="0">
      <selection activeCell="D3" sqref="D3:F3"/>
    </sheetView>
  </sheetViews>
  <sheetFormatPr defaultRowHeight="12.75" x14ac:dyDescent="0.2"/>
  <cols>
    <col min="1" max="1" width="50.5703125" style="32" customWidth="1"/>
    <col min="2" max="6" width="15.7109375" style="32" customWidth="1"/>
    <col min="7" max="16384" width="9.140625" style="32"/>
  </cols>
  <sheetData>
    <row r="1" spans="1:6" ht="15" customHeight="1" x14ac:dyDescent="0.2">
      <c r="A1" s="27" t="s">
        <v>98</v>
      </c>
      <c r="B1" s="27" t="s">
        <v>99</v>
      </c>
      <c r="C1" s="28" t="s">
        <v>161</v>
      </c>
      <c r="D1" s="29" t="s">
        <v>91</v>
      </c>
      <c r="E1" s="29" t="s">
        <v>92</v>
      </c>
      <c r="F1" s="29" t="s">
        <v>162</v>
      </c>
    </row>
    <row r="2" spans="1:6" ht="15" customHeight="1" x14ac:dyDescent="0.2">
      <c r="A2" s="33" t="s">
        <v>77</v>
      </c>
      <c r="B2" s="30">
        <v>0.1595</v>
      </c>
      <c r="C2" s="30">
        <f t="shared" ref="C2:C49" si="0">IF((E2+F2)&gt;0.25,0.25,E2+F2)</f>
        <v>0</v>
      </c>
      <c r="D2" s="30">
        <v>0</v>
      </c>
      <c r="E2" s="31">
        <f t="shared" ref="E2:E63" si="1">IF((ROUND(D2-(B2*0.65),4)/(1+B2))&lt;0,0,ROUND(D2-(B2*0.65),4)/(1+B2))</f>
        <v>0</v>
      </c>
      <c r="F2" s="31">
        <v>0</v>
      </c>
    </row>
    <row r="3" spans="1:6" ht="15" customHeight="1" x14ac:dyDescent="0.2">
      <c r="A3" s="33" t="s">
        <v>94</v>
      </c>
      <c r="B3" s="30">
        <v>0.29670000000000002</v>
      </c>
      <c r="C3" s="30">
        <f t="shared" si="0"/>
        <v>2.8611089689211076E-2</v>
      </c>
      <c r="D3" s="31">
        <v>0.23</v>
      </c>
      <c r="E3" s="31">
        <f>IF((ROUND(D3-(B3*0.65),4)/(1+B3))&lt;0,0,ROUND(D3-(B3*0.65),4)/(1+B3))</f>
        <v>2.8611089689211076E-2</v>
      </c>
      <c r="F3" s="31">
        <v>0</v>
      </c>
    </row>
    <row r="4" spans="1:6" ht="15" customHeight="1" x14ac:dyDescent="0.2">
      <c r="A4" s="33" t="s">
        <v>95</v>
      </c>
      <c r="B4" s="30">
        <v>0.29670000000000002</v>
      </c>
      <c r="C4" s="30">
        <f t="shared" si="0"/>
        <v>4.4034857715739957E-2</v>
      </c>
      <c r="D4" s="30">
        <v>0.25</v>
      </c>
      <c r="E4" s="30">
        <f>IF((ROUND(D4-(B4*0.65),4)/(1+B4))&lt;0,0,ROUND(D4-(B4*0.65),4)/(1+B4))</f>
        <v>4.4034857715739957E-2</v>
      </c>
      <c r="F4" s="30">
        <v>0</v>
      </c>
    </row>
    <row r="5" spans="1:6" ht="15" customHeight="1" x14ac:dyDescent="0.2">
      <c r="A5" s="34" t="s">
        <v>155</v>
      </c>
      <c r="B5" s="30">
        <v>0.17879999999999999</v>
      </c>
      <c r="C5" s="30">
        <f t="shared" si="0"/>
        <v>0</v>
      </c>
      <c r="D5" s="30">
        <v>0</v>
      </c>
      <c r="E5" s="31">
        <f t="shared" si="1"/>
        <v>0</v>
      </c>
      <c r="F5" s="31">
        <v>0</v>
      </c>
    </row>
    <row r="6" spans="1:6" ht="15" customHeight="1" x14ac:dyDescent="0.2">
      <c r="A6" s="33" t="s">
        <v>112</v>
      </c>
      <c r="B6" s="30">
        <v>0.1668</v>
      </c>
      <c r="C6" s="30">
        <f t="shared" si="0"/>
        <v>0</v>
      </c>
      <c r="D6" s="30">
        <v>0</v>
      </c>
      <c r="E6" s="31">
        <f t="shared" si="1"/>
        <v>0</v>
      </c>
      <c r="F6" s="31">
        <v>0</v>
      </c>
    </row>
    <row r="7" spans="1:6" ht="15" customHeight="1" x14ac:dyDescent="0.2">
      <c r="A7" s="33" t="s">
        <v>113</v>
      </c>
      <c r="B7" s="30">
        <v>0.22159999999999999</v>
      </c>
      <c r="C7" s="30">
        <f t="shared" si="0"/>
        <v>0</v>
      </c>
      <c r="D7" s="30">
        <v>0</v>
      </c>
      <c r="E7" s="31">
        <f t="shared" si="1"/>
        <v>0</v>
      </c>
      <c r="F7" s="31">
        <v>0</v>
      </c>
    </row>
    <row r="8" spans="1:6" ht="15" customHeight="1" x14ac:dyDescent="0.2">
      <c r="A8" s="33" t="s">
        <v>114</v>
      </c>
      <c r="B8" s="30">
        <v>0.1817</v>
      </c>
      <c r="C8" s="30">
        <f t="shared" si="0"/>
        <v>0</v>
      </c>
      <c r="D8" s="30">
        <v>0</v>
      </c>
      <c r="E8" s="31">
        <f t="shared" si="1"/>
        <v>0</v>
      </c>
      <c r="F8" s="31">
        <v>0</v>
      </c>
    </row>
    <row r="9" spans="1:6" ht="15" customHeight="1" x14ac:dyDescent="0.2">
      <c r="A9" s="34" t="s">
        <v>154</v>
      </c>
      <c r="B9" s="30">
        <v>0.16259999999999999</v>
      </c>
      <c r="C9" s="30">
        <f t="shared" ref="C9" si="2">IF((E9+F9)&gt;0.25,0.25,E9+F9)</f>
        <v>0</v>
      </c>
      <c r="D9" s="30">
        <v>0</v>
      </c>
      <c r="E9" s="31">
        <f t="shared" ref="E9" si="3">IF((ROUND(D9-(B9*0.65),4)/(1+B9))&lt;0,0,ROUND(D9-(B9*0.65),4)/(1+B9))</f>
        <v>0</v>
      </c>
      <c r="F9" s="31">
        <v>0</v>
      </c>
    </row>
    <row r="10" spans="1:6" ht="15" customHeight="1" x14ac:dyDescent="0.2">
      <c r="A10" s="34" t="s">
        <v>156</v>
      </c>
      <c r="B10" s="30">
        <v>0.29110000000000003</v>
      </c>
      <c r="C10" s="30">
        <f t="shared" si="0"/>
        <v>0</v>
      </c>
      <c r="D10" s="30">
        <v>0</v>
      </c>
      <c r="E10" s="31">
        <f t="shared" si="1"/>
        <v>0</v>
      </c>
      <c r="F10" s="31">
        <v>0</v>
      </c>
    </row>
    <row r="11" spans="1:6" ht="15" customHeight="1" x14ac:dyDescent="0.2">
      <c r="A11" s="33" t="s">
        <v>115</v>
      </c>
      <c r="B11" s="30">
        <v>0.20200000000000001</v>
      </c>
      <c r="C11" s="30">
        <f t="shared" si="0"/>
        <v>0</v>
      </c>
      <c r="D11" s="30">
        <v>0</v>
      </c>
      <c r="E11" s="31">
        <f t="shared" si="1"/>
        <v>0</v>
      </c>
      <c r="F11" s="31">
        <v>0</v>
      </c>
    </row>
    <row r="12" spans="1:6" ht="15" customHeight="1" x14ac:dyDescent="0.2">
      <c r="A12" s="34" t="s">
        <v>157</v>
      </c>
      <c r="B12" s="30">
        <v>0.16889999999999999</v>
      </c>
      <c r="C12" s="30">
        <f t="shared" ref="C12" si="4">IF((E12+F12)&gt;0.25,0.25,E12+F12)</f>
        <v>0</v>
      </c>
      <c r="D12" s="30">
        <v>0</v>
      </c>
      <c r="E12" s="31">
        <f t="shared" ref="E12" si="5">IF((ROUND(D12-(B12*0.65),4)/(1+B12))&lt;0,0,ROUND(D12-(B12*0.65),4)/(1+B12))</f>
        <v>0</v>
      </c>
      <c r="F12" s="31">
        <v>0</v>
      </c>
    </row>
    <row r="13" spans="1:6" ht="15" customHeight="1" x14ac:dyDescent="0.2">
      <c r="A13" s="33" t="s">
        <v>116</v>
      </c>
      <c r="B13" s="30">
        <v>0.1744</v>
      </c>
      <c r="C13" s="30">
        <f t="shared" si="0"/>
        <v>0</v>
      </c>
      <c r="D13" s="30">
        <v>0</v>
      </c>
      <c r="E13" s="31">
        <f t="shared" si="1"/>
        <v>0</v>
      </c>
      <c r="F13" s="31">
        <v>0</v>
      </c>
    </row>
    <row r="14" spans="1:6" ht="15" customHeight="1" x14ac:dyDescent="0.2">
      <c r="A14" s="33" t="s">
        <v>117</v>
      </c>
      <c r="B14" s="30">
        <v>0.28589999999999999</v>
      </c>
      <c r="C14" s="30">
        <f t="shared" si="0"/>
        <v>0</v>
      </c>
      <c r="D14" s="30">
        <v>0</v>
      </c>
      <c r="E14" s="31">
        <f t="shared" si="1"/>
        <v>0</v>
      </c>
      <c r="F14" s="31">
        <v>0</v>
      </c>
    </row>
    <row r="15" spans="1:6" ht="15" customHeight="1" x14ac:dyDescent="0.2">
      <c r="A15" s="33" t="s">
        <v>118</v>
      </c>
      <c r="B15" s="30">
        <v>0.20549999999999999</v>
      </c>
      <c r="C15" s="30">
        <f t="shared" si="0"/>
        <v>0</v>
      </c>
      <c r="D15" s="30">
        <v>0</v>
      </c>
      <c r="E15" s="31">
        <f t="shared" si="1"/>
        <v>0</v>
      </c>
      <c r="F15" s="31">
        <v>0</v>
      </c>
    </row>
    <row r="16" spans="1:6" ht="15" customHeight="1" x14ac:dyDescent="0.2">
      <c r="A16" s="33" t="s">
        <v>119</v>
      </c>
      <c r="B16" s="30">
        <v>0.2082</v>
      </c>
      <c r="C16" s="30">
        <f t="shared" si="0"/>
        <v>0</v>
      </c>
      <c r="D16" s="30">
        <v>0</v>
      </c>
      <c r="E16" s="31">
        <f t="shared" si="1"/>
        <v>0</v>
      </c>
      <c r="F16" s="31">
        <v>0</v>
      </c>
    </row>
    <row r="17" spans="1:6" ht="15" customHeight="1" x14ac:dyDescent="0.2">
      <c r="A17" s="33" t="s">
        <v>120</v>
      </c>
      <c r="B17" s="30">
        <v>0.17780000000000001</v>
      </c>
      <c r="C17" s="30">
        <f t="shared" si="0"/>
        <v>0</v>
      </c>
      <c r="D17" s="30">
        <v>0</v>
      </c>
      <c r="E17" s="31">
        <f t="shared" si="1"/>
        <v>0</v>
      </c>
      <c r="F17" s="31">
        <v>0</v>
      </c>
    </row>
    <row r="18" spans="1:6" ht="15" customHeight="1" x14ac:dyDescent="0.2">
      <c r="A18" s="33" t="s">
        <v>121</v>
      </c>
      <c r="B18" s="30">
        <v>0.20019999999999999</v>
      </c>
      <c r="C18" s="30">
        <f t="shared" si="0"/>
        <v>0</v>
      </c>
      <c r="D18" s="30">
        <v>0</v>
      </c>
      <c r="E18" s="31">
        <f t="shared" si="1"/>
        <v>0</v>
      </c>
      <c r="F18" s="31">
        <v>0</v>
      </c>
    </row>
    <row r="19" spans="1:6" ht="15" customHeight="1" x14ac:dyDescent="0.2">
      <c r="A19" s="34" t="s">
        <v>164</v>
      </c>
      <c r="B19" s="30">
        <v>0.1656</v>
      </c>
      <c r="C19" s="30">
        <v>0</v>
      </c>
      <c r="D19" s="30">
        <v>0</v>
      </c>
      <c r="E19" s="31">
        <v>0</v>
      </c>
      <c r="F19" s="31">
        <v>0</v>
      </c>
    </row>
    <row r="20" spans="1:6" ht="15" customHeight="1" x14ac:dyDescent="0.2">
      <c r="A20" s="33" t="s">
        <v>122</v>
      </c>
      <c r="B20" s="30">
        <v>0.24979999999999999</v>
      </c>
      <c r="C20" s="30">
        <f t="shared" ref="C20:C27" si="6">IF((E20+F20)&gt;0.25,0.25,E20+F20)</f>
        <v>0</v>
      </c>
      <c r="D20" s="30">
        <v>0</v>
      </c>
      <c r="E20" s="31">
        <f t="shared" ref="E20:E27" si="7">IF((ROUND(D20-(B20*0.65),4)/(1+B20))&lt;0,0,ROUND(D20-(B20*0.65),4)/(1+B20))</f>
        <v>0</v>
      </c>
      <c r="F20" s="31">
        <v>0</v>
      </c>
    </row>
    <row r="21" spans="1:6" ht="15" customHeight="1" x14ac:dyDescent="0.2">
      <c r="A21" s="33" t="s">
        <v>123</v>
      </c>
      <c r="B21" s="30">
        <v>0.1704</v>
      </c>
      <c r="C21" s="30">
        <f t="shared" si="6"/>
        <v>0</v>
      </c>
      <c r="D21" s="30">
        <v>0</v>
      </c>
      <c r="E21" s="31">
        <f t="shared" si="7"/>
        <v>0</v>
      </c>
      <c r="F21" s="31">
        <v>0</v>
      </c>
    </row>
    <row r="22" spans="1:6" ht="15" customHeight="1" x14ac:dyDescent="0.2">
      <c r="A22" s="33" t="s">
        <v>124</v>
      </c>
      <c r="B22" s="30">
        <v>0.1918</v>
      </c>
      <c r="C22" s="30">
        <f t="shared" si="6"/>
        <v>0</v>
      </c>
      <c r="D22" s="30">
        <v>0</v>
      </c>
      <c r="E22" s="31">
        <f t="shared" si="7"/>
        <v>0</v>
      </c>
      <c r="F22" s="31">
        <v>0</v>
      </c>
    </row>
    <row r="23" spans="1:6" ht="15" customHeight="1" x14ac:dyDescent="0.2">
      <c r="A23" s="33" t="s">
        <v>125</v>
      </c>
      <c r="B23" s="30">
        <v>0.27129999999999999</v>
      </c>
      <c r="C23" s="30">
        <f t="shared" si="6"/>
        <v>0</v>
      </c>
      <c r="D23" s="30">
        <v>0</v>
      </c>
      <c r="E23" s="31">
        <f t="shared" si="7"/>
        <v>0</v>
      </c>
      <c r="F23" s="31">
        <v>0</v>
      </c>
    </row>
    <row r="24" spans="1:6" ht="15" customHeight="1" x14ac:dyDescent="0.2">
      <c r="A24" s="34" t="s">
        <v>186</v>
      </c>
      <c r="B24" s="30">
        <v>0.1595</v>
      </c>
      <c r="C24" s="30">
        <f t="shared" ref="C24" si="8">IF((E24+F24)&gt;0.25,0.25,E24+F24)</f>
        <v>0</v>
      </c>
      <c r="D24" s="30">
        <v>0</v>
      </c>
      <c r="E24" s="31">
        <f t="shared" ref="E24" si="9">IF((ROUND(D24-(B24*0.65),4)/(1+B24))&lt;0,0,ROUND(D24-(B24*0.65),4)/(1+B24))</f>
        <v>0</v>
      </c>
      <c r="F24" s="31">
        <v>0</v>
      </c>
    </row>
    <row r="25" spans="1:6" ht="15" customHeight="1" x14ac:dyDescent="0.2">
      <c r="A25" s="33" t="s">
        <v>126</v>
      </c>
      <c r="B25" s="30">
        <v>0.2732</v>
      </c>
      <c r="C25" s="30">
        <f t="shared" si="6"/>
        <v>0</v>
      </c>
      <c r="D25" s="30">
        <v>0</v>
      </c>
      <c r="E25" s="31">
        <f t="shared" si="7"/>
        <v>0</v>
      </c>
      <c r="F25" s="31">
        <v>0</v>
      </c>
    </row>
    <row r="26" spans="1:6" ht="15" customHeight="1" x14ac:dyDescent="0.2">
      <c r="A26" s="33" t="s">
        <v>127</v>
      </c>
      <c r="B26" s="30">
        <v>0.17199999999999999</v>
      </c>
      <c r="C26" s="30">
        <f t="shared" si="6"/>
        <v>0</v>
      </c>
      <c r="D26" s="30">
        <v>0</v>
      </c>
      <c r="E26" s="31">
        <f t="shared" si="7"/>
        <v>0</v>
      </c>
      <c r="F26" s="31">
        <v>0</v>
      </c>
    </row>
    <row r="27" spans="1:6" ht="15" customHeight="1" x14ac:dyDescent="0.2">
      <c r="A27" s="33" t="s">
        <v>128</v>
      </c>
      <c r="B27" s="30">
        <v>0.2949</v>
      </c>
      <c r="C27" s="30">
        <f t="shared" si="6"/>
        <v>0</v>
      </c>
      <c r="D27" s="30">
        <v>0</v>
      </c>
      <c r="E27" s="31">
        <f t="shared" si="7"/>
        <v>0</v>
      </c>
      <c r="F27" s="31">
        <v>0</v>
      </c>
    </row>
    <row r="28" spans="1:6" ht="15" customHeight="1" x14ac:dyDescent="0.2">
      <c r="A28" s="33" t="s">
        <v>97</v>
      </c>
      <c r="B28" s="30">
        <v>0.1956</v>
      </c>
      <c r="C28" s="30">
        <f t="shared" si="0"/>
        <v>0.10279357644697223</v>
      </c>
      <c r="D28" s="30">
        <v>0.25</v>
      </c>
      <c r="E28" s="30">
        <f>IF((ROUND(D28-(B28*0.65),4)/(1+B28))&lt;0,0,ROUND(D28-(B28*0.65),4)/(1+B28))</f>
        <v>0.10279357644697223</v>
      </c>
      <c r="F28" s="30">
        <v>0</v>
      </c>
    </row>
    <row r="29" spans="1:6" ht="15" customHeight="1" x14ac:dyDescent="0.2">
      <c r="A29" s="33" t="s">
        <v>96</v>
      </c>
      <c r="B29" s="30">
        <v>0.1956</v>
      </c>
      <c r="C29" s="30">
        <f>IF((E29+F29)&gt;0.25,0.25,E29+F29)</f>
        <v>4.4245567079290733E-2</v>
      </c>
      <c r="D29" s="30">
        <v>0.18</v>
      </c>
      <c r="E29" s="30">
        <f>IF((ROUND(D29-(B29*0.65),4)/(1+B29))&lt;0,0,ROUND(D29-(B29*0.65),4)/(1+B29))</f>
        <v>4.4245567079290733E-2</v>
      </c>
      <c r="F29" s="30">
        <v>0</v>
      </c>
    </row>
    <row r="30" spans="1:6" ht="15" customHeight="1" x14ac:dyDescent="0.2">
      <c r="A30" s="33" t="s">
        <v>129</v>
      </c>
      <c r="B30" s="30">
        <v>0.3332</v>
      </c>
      <c r="C30" s="30">
        <f t="shared" si="0"/>
        <v>0</v>
      </c>
      <c r="D30" s="30">
        <v>0</v>
      </c>
      <c r="E30" s="31">
        <f t="shared" si="1"/>
        <v>0</v>
      </c>
      <c r="F30" s="31">
        <v>0</v>
      </c>
    </row>
    <row r="31" spans="1:6" ht="15" customHeight="1" x14ac:dyDescent="0.2">
      <c r="A31" s="33" t="s">
        <v>130</v>
      </c>
      <c r="B31" s="30">
        <v>0.19850000000000001</v>
      </c>
      <c r="C31" s="30">
        <f t="shared" si="0"/>
        <v>0</v>
      </c>
      <c r="D31" s="30">
        <v>0</v>
      </c>
      <c r="E31" s="31">
        <f t="shared" si="1"/>
        <v>0</v>
      </c>
      <c r="F31" s="31">
        <v>0</v>
      </c>
    </row>
    <row r="32" spans="1:6" ht="15" customHeight="1" x14ac:dyDescent="0.2">
      <c r="A32" s="33" t="s">
        <v>131</v>
      </c>
      <c r="B32" s="30">
        <v>0.16919999999999999</v>
      </c>
      <c r="C32" s="30">
        <f t="shared" si="0"/>
        <v>0</v>
      </c>
      <c r="D32" s="30">
        <v>0</v>
      </c>
      <c r="E32" s="31">
        <f t="shared" si="1"/>
        <v>0</v>
      </c>
      <c r="F32" s="31">
        <v>0</v>
      </c>
    </row>
    <row r="33" spans="1:6" ht="15" customHeight="1" x14ac:dyDescent="0.2">
      <c r="A33" s="33" t="s">
        <v>132</v>
      </c>
      <c r="B33" s="30">
        <v>0.17130000000000001</v>
      </c>
      <c r="C33" s="30">
        <f t="shared" si="0"/>
        <v>0</v>
      </c>
      <c r="D33" s="30">
        <v>0</v>
      </c>
      <c r="E33" s="31">
        <f t="shared" si="1"/>
        <v>0</v>
      </c>
      <c r="F33" s="31">
        <v>0</v>
      </c>
    </row>
    <row r="34" spans="1:6" ht="15" customHeight="1" x14ac:dyDescent="0.2">
      <c r="A34" s="33" t="s">
        <v>133</v>
      </c>
      <c r="B34" s="30">
        <v>0.1888</v>
      </c>
      <c r="C34" s="30">
        <f t="shared" si="0"/>
        <v>0</v>
      </c>
      <c r="D34" s="30">
        <v>0</v>
      </c>
      <c r="E34" s="31">
        <f t="shared" si="1"/>
        <v>0</v>
      </c>
      <c r="F34" s="31">
        <v>0</v>
      </c>
    </row>
    <row r="35" spans="1:6" ht="15" customHeight="1" x14ac:dyDescent="0.2">
      <c r="A35" s="33" t="s">
        <v>134</v>
      </c>
      <c r="B35" s="30">
        <v>0.17680000000000001</v>
      </c>
      <c r="C35" s="30">
        <f t="shared" si="0"/>
        <v>0</v>
      </c>
      <c r="D35" s="30">
        <v>0</v>
      </c>
      <c r="E35" s="31">
        <f t="shared" si="1"/>
        <v>0</v>
      </c>
      <c r="F35" s="31">
        <v>0</v>
      </c>
    </row>
    <row r="36" spans="1:6" ht="15" customHeight="1" x14ac:dyDescent="0.2">
      <c r="A36" s="33" t="s">
        <v>135</v>
      </c>
      <c r="B36" s="30">
        <v>0.3241</v>
      </c>
      <c r="C36" s="30">
        <f t="shared" si="0"/>
        <v>0</v>
      </c>
      <c r="D36" s="30">
        <v>0</v>
      </c>
      <c r="E36" s="31">
        <f t="shared" si="1"/>
        <v>0</v>
      </c>
      <c r="F36" s="31">
        <v>0</v>
      </c>
    </row>
    <row r="37" spans="1:6" ht="15" customHeight="1" x14ac:dyDescent="0.2">
      <c r="A37" s="33" t="s">
        <v>136</v>
      </c>
      <c r="B37" s="30">
        <v>0.2351</v>
      </c>
      <c r="C37" s="30">
        <f t="shared" si="0"/>
        <v>0</v>
      </c>
      <c r="D37" s="30">
        <v>0</v>
      </c>
      <c r="E37" s="31">
        <f t="shared" si="1"/>
        <v>0</v>
      </c>
      <c r="F37" s="31">
        <v>0</v>
      </c>
    </row>
    <row r="38" spans="1:6" ht="15" customHeight="1" x14ac:dyDescent="0.2">
      <c r="A38" s="33" t="s">
        <v>137</v>
      </c>
      <c r="B38" s="30">
        <v>0.20960000000000001</v>
      </c>
      <c r="C38" s="30">
        <f t="shared" si="0"/>
        <v>0</v>
      </c>
      <c r="D38" s="30">
        <v>0</v>
      </c>
      <c r="E38" s="31">
        <f t="shared" si="1"/>
        <v>0</v>
      </c>
      <c r="F38" s="31">
        <v>0</v>
      </c>
    </row>
    <row r="39" spans="1:6" ht="15" customHeight="1" x14ac:dyDescent="0.2">
      <c r="A39" s="33" t="s">
        <v>138</v>
      </c>
      <c r="B39" s="30">
        <v>0.24660000000000001</v>
      </c>
      <c r="C39" s="30">
        <f t="shared" si="0"/>
        <v>0</v>
      </c>
      <c r="D39" s="30">
        <v>0</v>
      </c>
      <c r="E39" s="31">
        <f t="shared" si="1"/>
        <v>0</v>
      </c>
      <c r="F39" s="31">
        <v>0</v>
      </c>
    </row>
    <row r="40" spans="1:6" ht="15" customHeight="1" x14ac:dyDescent="0.2">
      <c r="A40" s="33" t="s">
        <v>139</v>
      </c>
      <c r="B40" s="30">
        <v>0.33979999999999999</v>
      </c>
      <c r="C40" s="30">
        <f t="shared" si="0"/>
        <v>0</v>
      </c>
      <c r="D40" s="30">
        <v>0</v>
      </c>
      <c r="E40" s="31">
        <f t="shared" si="1"/>
        <v>0</v>
      </c>
      <c r="F40" s="31">
        <v>0</v>
      </c>
    </row>
    <row r="41" spans="1:6" ht="15" customHeight="1" x14ac:dyDescent="0.2">
      <c r="A41" s="34" t="s">
        <v>158</v>
      </c>
      <c r="B41" s="30">
        <v>0.1633</v>
      </c>
      <c r="C41" s="30">
        <f t="shared" ref="C41" si="10">IF((E41+F41)&gt;0.25,0.25,E41+F41)</f>
        <v>0</v>
      </c>
      <c r="D41" s="30">
        <v>0</v>
      </c>
      <c r="E41" s="31">
        <f t="shared" ref="E41" si="11">IF((ROUND(D41-(B41*0.65),4)/(1+B41))&lt;0,0,ROUND(D41-(B41*0.65),4)/(1+B41))</f>
        <v>0</v>
      </c>
      <c r="F41" s="31">
        <v>0</v>
      </c>
    </row>
    <row r="42" spans="1:6" ht="15" customHeight="1" x14ac:dyDescent="0.2">
      <c r="A42" s="33" t="s">
        <v>140</v>
      </c>
      <c r="B42" s="30">
        <v>0.1673</v>
      </c>
      <c r="C42" s="30">
        <f t="shared" si="0"/>
        <v>0</v>
      </c>
      <c r="D42" s="30">
        <v>0</v>
      </c>
      <c r="E42" s="31">
        <f t="shared" si="1"/>
        <v>0</v>
      </c>
      <c r="F42" s="31">
        <v>0</v>
      </c>
    </row>
    <row r="43" spans="1:6" ht="15" customHeight="1" x14ac:dyDescent="0.2">
      <c r="A43" s="33" t="s">
        <v>141</v>
      </c>
      <c r="B43" s="30">
        <v>0.26040000000000002</v>
      </c>
      <c r="C43" s="30">
        <f t="shared" si="0"/>
        <v>0</v>
      </c>
      <c r="D43" s="30">
        <v>0</v>
      </c>
      <c r="E43" s="31">
        <f t="shared" si="1"/>
        <v>0</v>
      </c>
      <c r="F43" s="31">
        <v>0</v>
      </c>
    </row>
    <row r="44" spans="1:6" ht="15" customHeight="1" x14ac:dyDescent="0.2">
      <c r="A44" s="33" t="s">
        <v>142</v>
      </c>
      <c r="B44" s="30">
        <v>0.20119999999999999</v>
      </c>
      <c r="C44" s="30">
        <f t="shared" si="0"/>
        <v>0</v>
      </c>
      <c r="D44" s="30">
        <v>0</v>
      </c>
      <c r="E44" s="31">
        <f t="shared" si="1"/>
        <v>0</v>
      </c>
      <c r="F44" s="31">
        <v>0</v>
      </c>
    </row>
    <row r="45" spans="1:6" ht="15" customHeight="1" x14ac:dyDescent="0.2">
      <c r="A45" s="33" t="s">
        <v>143</v>
      </c>
      <c r="B45" s="30">
        <v>0.19400000000000001</v>
      </c>
      <c r="C45" s="30">
        <f t="shared" si="0"/>
        <v>0</v>
      </c>
      <c r="D45" s="30">
        <v>0</v>
      </c>
      <c r="E45" s="31">
        <f t="shared" si="1"/>
        <v>0</v>
      </c>
      <c r="F45" s="31">
        <v>0</v>
      </c>
    </row>
    <row r="46" spans="1:6" ht="15" customHeight="1" x14ac:dyDescent="0.2">
      <c r="A46" s="33" t="s">
        <v>144</v>
      </c>
      <c r="B46" s="30">
        <v>0.2374</v>
      </c>
      <c r="C46" s="30">
        <f t="shared" si="0"/>
        <v>0</v>
      </c>
      <c r="D46" s="30">
        <v>0</v>
      </c>
      <c r="E46" s="31">
        <f t="shared" si="1"/>
        <v>0</v>
      </c>
      <c r="F46" s="31">
        <v>0</v>
      </c>
    </row>
    <row r="47" spans="1:6" ht="15" customHeight="1" x14ac:dyDescent="0.2">
      <c r="A47" s="33" t="s">
        <v>145</v>
      </c>
      <c r="B47" s="30">
        <v>0.2049</v>
      </c>
      <c r="C47" s="30">
        <f t="shared" si="0"/>
        <v>0</v>
      </c>
      <c r="D47" s="30">
        <v>0</v>
      </c>
      <c r="E47" s="31">
        <f t="shared" si="1"/>
        <v>0</v>
      </c>
      <c r="F47" s="31">
        <v>0</v>
      </c>
    </row>
    <row r="48" spans="1:6" ht="15" customHeight="1" x14ac:dyDescent="0.2">
      <c r="A48" s="33" t="s">
        <v>146</v>
      </c>
      <c r="B48" s="30">
        <v>0.19950000000000001</v>
      </c>
      <c r="C48" s="30">
        <f t="shared" si="0"/>
        <v>0</v>
      </c>
      <c r="D48" s="30">
        <v>0</v>
      </c>
      <c r="E48" s="31">
        <f t="shared" si="1"/>
        <v>0</v>
      </c>
      <c r="F48" s="31">
        <v>0</v>
      </c>
    </row>
    <row r="49" spans="1:6" ht="15" customHeight="1" x14ac:dyDescent="0.2">
      <c r="A49" s="35" t="s">
        <v>147</v>
      </c>
      <c r="B49" s="30">
        <v>0.26369999999999999</v>
      </c>
      <c r="C49" s="30">
        <f t="shared" si="0"/>
        <v>0</v>
      </c>
      <c r="D49" s="30">
        <v>0</v>
      </c>
      <c r="E49" s="31">
        <f t="shared" si="1"/>
        <v>0</v>
      </c>
      <c r="F49" s="31">
        <v>0</v>
      </c>
    </row>
    <row r="50" spans="1:6" ht="15" customHeight="1" x14ac:dyDescent="0.2">
      <c r="A50" s="34" t="s">
        <v>159</v>
      </c>
      <c r="B50" s="30">
        <v>0.16769999999999999</v>
      </c>
      <c r="C50" s="30">
        <f t="shared" ref="C50" si="12">IF((E50+F50)&gt;0.25,0.25,E50+F50)</f>
        <v>0</v>
      </c>
      <c r="D50" s="30">
        <v>0</v>
      </c>
      <c r="E50" s="31">
        <f t="shared" ref="E50" si="13">IF((ROUND(D50-(B50*0.65),4)/(1+B50))&lt;0,0,ROUND(D50-(B50*0.65),4)/(1+B50))</f>
        <v>0</v>
      </c>
      <c r="F50" s="31">
        <v>0</v>
      </c>
    </row>
    <row r="51" spans="1:6" ht="15" customHeight="1" x14ac:dyDescent="0.2">
      <c r="A51" s="35" t="s">
        <v>148</v>
      </c>
      <c r="B51" s="30">
        <v>0.29770000000000002</v>
      </c>
      <c r="C51" s="30">
        <f t="shared" ref="C51:C57" si="14">IF((E51+F51)&gt;0.25,0.25,E51+F51)</f>
        <v>0</v>
      </c>
      <c r="D51" s="30">
        <v>0</v>
      </c>
      <c r="E51" s="31">
        <f t="shared" ref="E51:E57" si="15">IF((ROUND(D51-(B51*0.65),4)/(1+B51))&lt;0,0,ROUND(D51-(B51*0.65),4)/(1+B51))</f>
        <v>0</v>
      </c>
      <c r="F51" s="31">
        <v>0</v>
      </c>
    </row>
    <row r="52" spans="1:6" ht="15" customHeight="1" x14ac:dyDescent="0.2">
      <c r="A52" s="35" t="s">
        <v>149</v>
      </c>
      <c r="B52" s="30">
        <v>0.41439999999999999</v>
      </c>
      <c r="C52" s="30">
        <f t="shared" si="14"/>
        <v>0</v>
      </c>
      <c r="D52" s="30">
        <v>0</v>
      </c>
      <c r="E52" s="31">
        <f t="shared" si="15"/>
        <v>0</v>
      </c>
      <c r="F52" s="31">
        <v>0</v>
      </c>
    </row>
    <row r="53" spans="1:6" ht="15" customHeight="1" x14ac:dyDescent="0.2">
      <c r="A53" s="35" t="s">
        <v>150</v>
      </c>
      <c r="B53" s="30">
        <v>0.2702</v>
      </c>
      <c r="C53" s="30">
        <f t="shared" si="14"/>
        <v>0</v>
      </c>
      <c r="D53" s="30">
        <v>0</v>
      </c>
      <c r="E53" s="31">
        <f t="shared" si="15"/>
        <v>0</v>
      </c>
      <c r="F53" s="31">
        <v>0</v>
      </c>
    </row>
    <row r="54" spans="1:6" ht="15" customHeight="1" x14ac:dyDescent="0.2">
      <c r="A54" s="35" t="s">
        <v>151</v>
      </c>
      <c r="B54" s="30">
        <v>0.17649999999999999</v>
      </c>
      <c r="C54" s="30">
        <f t="shared" si="14"/>
        <v>0</v>
      </c>
      <c r="D54" s="30">
        <v>0</v>
      </c>
      <c r="E54" s="31">
        <f t="shared" si="15"/>
        <v>0</v>
      </c>
      <c r="F54" s="31">
        <v>0</v>
      </c>
    </row>
    <row r="55" spans="1:6" ht="15" customHeight="1" x14ac:dyDescent="0.2">
      <c r="A55" s="35" t="s">
        <v>152</v>
      </c>
      <c r="B55" s="30">
        <v>0.1719</v>
      </c>
      <c r="C55" s="30">
        <f t="shared" si="14"/>
        <v>0</v>
      </c>
      <c r="D55" s="30">
        <v>0</v>
      </c>
      <c r="E55" s="31">
        <f t="shared" si="15"/>
        <v>0</v>
      </c>
      <c r="F55" s="31">
        <v>0</v>
      </c>
    </row>
    <row r="56" spans="1:6" ht="15" customHeight="1" x14ac:dyDescent="0.2">
      <c r="A56" s="34" t="s">
        <v>160</v>
      </c>
      <c r="B56" s="30">
        <v>0.1651</v>
      </c>
      <c r="C56" s="30">
        <f t="shared" si="14"/>
        <v>0</v>
      </c>
      <c r="D56" s="30">
        <v>0</v>
      </c>
      <c r="E56" s="31">
        <f t="shared" si="15"/>
        <v>0</v>
      </c>
      <c r="F56" s="31">
        <v>0</v>
      </c>
    </row>
    <row r="57" spans="1:6" ht="15" customHeight="1" x14ac:dyDescent="0.2">
      <c r="A57" s="35" t="s">
        <v>153</v>
      </c>
      <c r="B57" s="30">
        <v>0.30480000000000002</v>
      </c>
      <c r="C57" s="30">
        <f t="shared" si="14"/>
        <v>0</v>
      </c>
      <c r="D57" s="30">
        <v>0</v>
      </c>
      <c r="E57" s="31">
        <f t="shared" si="15"/>
        <v>0</v>
      </c>
      <c r="F57" s="31">
        <v>0</v>
      </c>
    </row>
    <row r="58" spans="1:6" ht="15" customHeight="1" x14ac:dyDescent="0.2">
      <c r="A58" s="33" t="s">
        <v>61</v>
      </c>
      <c r="B58" s="30">
        <v>0.1595</v>
      </c>
      <c r="C58" s="30">
        <f t="shared" ref="C58:C63" si="16">IF((E58+F58)&gt;0.25,0.25,E58+F58)</f>
        <v>3.1306597671410093E-2</v>
      </c>
      <c r="D58" s="30">
        <v>0.14000000000000001</v>
      </c>
      <c r="E58" s="30">
        <f t="shared" si="1"/>
        <v>3.1306597671410093E-2</v>
      </c>
      <c r="F58" s="30">
        <v>0</v>
      </c>
    </row>
    <row r="59" spans="1:6" ht="15" customHeight="1" x14ac:dyDescent="0.2">
      <c r="A59" s="33" t="s">
        <v>59</v>
      </c>
      <c r="B59" s="30">
        <v>0.1595</v>
      </c>
      <c r="C59" s="30">
        <f t="shared" si="16"/>
        <v>0.12617507546356188</v>
      </c>
      <c r="D59" s="30">
        <v>0.25</v>
      </c>
      <c r="E59" s="30">
        <f t="shared" si="1"/>
        <v>0.12617507546356188</v>
      </c>
      <c r="F59" s="30">
        <v>0</v>
      </c>
    </row>
    <row r="60" spans="1:6" ht="15" customHeight="1" x14ac:dyDescent="0.2">
      <c r="A60" s="33" t="s">
        <v>73</v>
      </c>
      <c r="B60" s="30">
        <v>0.1595</v>
      </c>
      <c r="C60" s="30">
        <f t="shared" si="16"/>
        <v>0.25</v>
      </c>
      <c r="D60" s="30">
        <v>0</v>
      </c>
      <c r="E60" s="30">
        <f t="shared" si="1"/>
        <v>0</v>
      </c>
      <c r="F60" s="30">
        <v>0.25</v>
      </c>
    </row>
    <row r="61" spans="1:6" ht="15" customHeight="1" x14ac:dyDescent="0.2">
      <c r="A61" s="33" t="s">
        <v>74</v>
      </c>
      <c r="B61" s="30">
        <v>0.1595</v>
      </c>
      <c r="C61" s="30">
        <f t="shared" si="16"/>
        <v>0.25</v>
      </c>
      <c r="D61" s="30">
        <v>0</v>
      </c>
      <c r="E61" s="30">
        <f t="shared" si="1"/>
        <v>0</v>
      </c>
      <c r="F61" s="30">
        <v>0.25</v>
      </c>
    </row>
    <row r="62" spans="1:6" ht="15" customHeight="1" x14ac:dyDescent="0.2">
      <c r="A62" s="33" t="s">
        <v>75</v>
      </c>
      <c r="B62" s="30">
        <v>0.1595</v>
      </c>
      <c r="C62" s="30">
        <f t="shared" si="16"/>
        <v>0.25</v>
      </c>
      <c r="D62" s="30">
        <v>0</v>
      </c>
      <c r="E62" s="30">
        <f t="shared" si="1"/>
        <v>0</v>
      </c>
      <c r="F62" s="30">
        <v>0.25</v>
      </c>
    </row>
    <row r="63" spans="1:6" ht="15" customHeight="1" x14ac:dyDescent="0.2">
      <c r="A63" s="33" t="s">
        <v>60</v>
      </c>
      <c r="B63" s="30">
        <v>0.1595</v>
      </c>
      <c r="C63" s="30">
        <f t="shared" si="16"/>
        <v>0.25</v>
      </c>
      <c r="D63" s="30">
        <v>0.25</v>
      </c>
      <c r="E63" s="30">
        <f t="shared" si="1"/>
        <v>0.12617507546356188</v>
      </c>
      <c r="F63" s="30">
        <v>0.2</v>
      </c>
    </row>
    <row r="64" spans="1:6" ht="15" customHeight="1" x14ac:dyDescent="0.2">
      <c r="A64" s="33" t="s">
        <v>76</v>
      </c>
      <c r="B64" s="30">
        <v>0.1595</v>
      </c>
      <c r="C64" s="30">
        <f>IF((E64+F64)&gt;0.25,0.25,E64+F64)</f>
        <v>0.25</v>
      </c>
      <c r="D64" s="30">
        <v>0</v>
      </c>
      <c r="E64" s="30">
        <f>IF((ROUND(D64-(B64*0.65),4)/(1+B64))&lt;0,0,ROUND(D64-(B64*0.65),4)/(1+B64))</f>
        <v>0</v>
      </c>
      <c r="F64" s="30">
        <v>0.25</v>
      </c>
    </row>
    <row r="65" spans="1:6" ht="15" customHeight="1" x14ac:dyDescent="0.2">
      <c r="A65" s="33" t="s">
        <v>64</v>
      </c>
      <c r="B65" s="30">
        <v>0</v>
      </c>
      <c r="C65" s="30">
        <f>IF((E65+F65)&gt;0.25,0.25,E65+F65)</f>
        <v>0</v>
      </c>
      <c r="D65" s="30">
        <v>0</v>
      </c>
      <c r="E65" s="31">
        <f>IF((ROUND(D65-(B65*0.65),4)/(1+B65))&lt;0,0,ROUND(D65-(B65*0.65),4)/(1+B65))</f>
        <v>0</v>
      </c>
      <c r="F65" s="31">
        <v>0</v>
      </c>
    </row>
    <row r="67" spans="1:6" x14ac:dyDescent="0.2">
      <c r="A67" s="36"/>
    </row>
  </sheetData>
  <sheetProtection algorithmName="SHA-512" hashValue="gkfl4SqQzvwryp0M89F8jPh9zkxYDVa2RRGvwH6wSOfyLcskw5cBaM08WxzrNv8VJjoU6wHOiyucE5gchFZuUA==" saltValue="c3FWz6KcU4nLfb6e95zdCw==" spinCount="100000" sheet="1" objects="1" scenarios="1"/>
  <phoneticPr fontId="18" type="noConversion"/>
  <pageMargins left="0.75" right="0.75" top="1" bottom="1" header="0.5" footer="0.5"/>
  <pageSetup scale="92"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4"/>
  <sheetViews>
    <sheetView showGridLines="0" workbookViewId="0">
      <selection activeCell="D3" sqref="D3:F3"/>
    </sheetView>
  </sheetViews>
  <sheetFormatPr defaultRowHeight="12.75" x14ac:dyDescent="0.2"/>
  <cols>
    <col min="1" max="1" width="9.140625" style="84"/>
    <col min="2" max="2" width="8.7109375" style="84" customWidth="1"/>
    <col min="3" max="3" width="15.7109375" style="84" customWidth="1"/>
    <col min="4" max="5" width="12.28515625" style="84" customWidth="1"/>
    <col min="6" max="6" width="8.7109375" style="84" customWidth="1"/>
    <col min="7" max="7" width="15.7109375" style="84" customWidth="1"/>
    <col min="8" max="11" width="12.28515625" style="84" customWidth="1"/>
    <col min="12" max="16384" width="9.140625" style="84"/>
  </cols>
  <sheetData>
    <row r="1" spans="1:9" s="81" customFormat="1" ht="25.5" customHeight="1" x14ac:dyDescent="0.4">
      <c r="A1" s="169" t="s">
        <v>103</v>
      </c>
      <c r="B1" s="169"/>
      <c r="C1" s="169"/>
      <c r="D1" s="169"/>
      <c r="E1" s="169"/>
      <c r="F1" s="169"/>
      <c r="G1" s="169"/>
      <c r="H1" s="169"/>
      <c r="I1" s="169"/>
    </row>
    <row r="2" spans="1:9" s="81" customFormat="1" ht="12.75" customHeight="1" x14ac:dyDescent="0.4">
      <c r="A2" s="82"/>
      <c r="B2" s="82"/>
      <c r="C2" s="82"/>
      <c r="D2" s="82"/>
      <c r="E2" s="82"/>
      <c r="F2" s="82"/>
      <c r="G2" s="82"/>
      <c r="H2" s="82"/>
      <c r="I2" s="82"/>
    </row>
    <row r="3" spans="1:9" x14ac:dyDescent="0.2">
      <c r="A3" s="83"/>
      <c r="B3" s="83"/>
      <c r="C3" s="83"/>
      <c r="D3" s="174" t="s">
        <v>82</v>
      </c>
      <c r="E3" s="174"/>
      <c r="F3" s="174"/>
      <c r="G3" s="83"/>
      <c r="H3" s="83"/>
    </row>
    <row r="4" spans="1:9" x14ac:dyDescent="0.2">
      <c r="A4" s="83"/>
      <c r="B4" s="83"/>
      <c r="C4" s="83"/>
      <c r="D4" s="85"/>
      <c r="E4" s="85"/>
      <c r="F4" s="85"/>
      <c r="G4" s="83"/>
      <c r="H4" s="83"/>
    </row>
    <row r="5" spans="1:9" ht="19.5" x14ac:dyDescent="0.3">
      <c r="A5" s="173" t="str">
        <f>"Locality/COLA Area: "&amp;'Start Page'!C44</f>
        <v>Locality/COLA Area: Rest of the United States</v>
      </c>
      <c r="B5" s="173"/>
      <c r="C5" s="173"/>
      <c r="D5" s="173"/>
      <c r="E5" s="173"/>
      <c r="F5" s="173"/>
      <c r="G5" s="173"/>
      <c r="H5" s="173"/>
      <c r="I5" s="173"/>
    </row>
    <row r="6" spans="1:9" ht="12.75" customHeight="1" x14ac:dyDescent="0.3">
      <c r="D6" s="81"/>
      <c r="E6" s="86"/>
      <c r="F6" s="87"/>
      <c r="G6" s="88"/>
      <c r="H6" s="88"/>
    </row>
    <row r="7" spans="1:9" x14ac:dyDescent="0.2">
      <c r="A7" s="170" t="s">
        <v>104</v>
      </c>
      <c r="B7" s="171"/>
      <c r="C7" s="171"/>
      <c r="D7" s="171"/>
      <c r="E7" s="171"/>
      <c r="F7" s="171"/>
      <c r="G7" s="171"/>
      <c r="H7" s="171"/>
      <c r="I7" s="171"/>
    </row>
    <row r="8" spans="1:9" x14ac:dyDescent="0.2">
      <c r="A8" s="89"/>
      <c r="B8" s="90"/>
      <c r="C8" s="90"/>
      <c r="D8" s="90"/>
      <c r="E8" s="90"/>
      <c r="F8" s="90"/>
      <c r="G8" s="90"/>
      <c r="H8" s="90"/>
      <c r="I8" s="90"/>
    </row>
    <row r="9" spans="1:9" ht="51" customHeight="1" x14ac:dyDescent="0.2">
      <c r="A9" s="175" t="s">
        <v>105</v>
      </c>
      <c r="B9" s="175"/>
      <c r="C9" s="175"/>
      <c r="D9" s="175"/>
      <c r="E9" s="175"/>
      <c r="F9" s="175"/>
      <c r="G9" s="175"/>
      <c r="H9" s="175"/>
      <c r="I9" s="175"/>
    </row>
    <row r="10" spans="1:9" x14ac:dyDescent="0.2">
      <c r="E10" s="91"/>
      <c r="G10" s="88"/>
      <c r="H10" s="88"/>
    </row>
    <row r="11" spans="1:9" ht="25.5" customHeight="1" x14ac:dyDescent="0.2">
      <c r="A11" s="176" t="s">
        <v>106</v>
      </c>
      <c r="B11" s="176"/>
      <c r="C11" s="176"/>
      <c r="D11" s="176"/>
      <c r="E11" s="176"/>
      <c r="F11" s="176"/>
      <c r="G11" s="176"/>
      <c r="H11" s="176"/>
      <c r="I11" s="176"/>
    </row>
    <row r="12" spans="1:9" x14ac:dyDescent="0.2">
      <c r="A12" s="92"/>
      <c r="B12" s="92"/>
      <c r="C12" s="92"/>
      <c r="D12" s="92"/>
      <c r="E12" s="92"/>
      <c r="F12" s="92"/>
      <c r="G12" s="92"/>
      <c r="H12" s="92"/>
      <c r="I12" s="92"/>
    </row>
    <row r="13" spans="1:9" ht="25.5" customHeight="1" x14ac:dyDescent="0.2">
      <c r="A13" s="176" t="s">
        <v>111</v>
      </c>
      <c r="B13" s="176"/>
      <c r="C13" s="176"/>
      <c r="D13" s="176"/>
      <c r="E13" s="176"/>
      <c r="F13" s="176"/>
      <c r="G13" s="176"/>
      <c r="H13" s="176"/>
      <c r="I13" s="176"/>
    </row>
    <row r="14" spans="1:9" x14ac:dyDescent="0.2">
      <c r="A14" s="93"/>
    </row>
    <row r="15" spans="1:9" x14ac:dyDescent="0.2">
      <c r="A15" s="84" t="s">
        <v>85</v>
      </c>
      <c r="C15" s="94">
        <v>50000</v>
      </c>
      <c r="F15" s="95" t="str">
        <f>IF(C15&gt;0,"","Error!  I would like to think you are making something for your trouble.")</f>
        <v/>
      </c>
    </row>
    <row r="16" spans="1:9" x14ac:dyDescent="0.2">
      <c r="A16" s="93"/>
    </row>
    <row r="17" spans="1:11" ht="18.75" x14ac:dyDescent="0.3">
      <c r="B17" s="172" t="s">
        <v>84</v>
      </c>
      <c r="C17" s="172"/>
      <c r="D17" s="172"/>
      <c r="E17" s="91"/>
      <c r="F17" s="172" t="s">
        <v>87</v>
      </c>
      <c r="G17" s="172"/>
      <c r="H17" s="172"/>
    </row>
    <row r="18" spans="1:11" x14ac:dyDescent="0.2">
      <c r="E18" s="85"/>
      <c r="F18" s="85"/>
      <c r="G18" s="85"/>
    </row>
    <row r="19" spans="1:11" x14ac:dyDescent="0.2">
      <c r="A19" s="81"/>
      <c r="B19" s="96" t="s">
        <v>40</v>
      </c>
      <c r="C19" s="96" t="s">
        <v>1</v>
      </c>
      <c r="D19" s="97" t="s">
        <v>86</v>
      </c>
      <c r="E19" s="81"/>
      <c r="F19" s="96" t="s">
        <v>40</v>
      </c>
      <c r="G19" s="96" t="s">
        <v>1</v>
      </c>
      <c r="H19" s="97" t="s">
        <v>86</v>
      </c>
      <c r="I19" s="81"/>
      <c r="J19" s="81"/>
      <c r="K19" s="81"/>
    </row>
    <row r="20" spans="1:11" ht="12.75" customHeight="1" x14ac:dyDescent="0.2">
      <c r="A20" s="81"/>
      <c r="B20" s="98"/>
      <c r="C20" s="99" t="s">
        <v>107</v>
      </c>
      <c r="D20" s="100">
        <f>ROUND($C$15+($C$15*'Start Page'!$C$46),0)</f>
        <v>57975</v>
      </c>
      <c r="E20" s="81"/>
      <c r="F20" s="98"/>
      <c r="G20" s="99" t="s">
        <v>107</v>
      </c>
      <c r="H20" s="100">
        <f>ROUND($C$15+($C$15*'Start Page'!$C$46),0)</f>
        <v>57975</v>
      </c>
      <c r="I20" s="81"/>
      <c r="J20" s="81"/>
      <c r="K20" s="81"/>
    </row>
    <row r="21" spans="1:11" x14ac:dyDescent="0.2">
      <c r="A21" s="81"/>
      <c r="B21" s="98">
        <v>106</v>
      </c>
      <c r="C21" s="101" t="s">
        <v>38</v>
      </c>
      <c r="D21" s="102">
        <f>D22*106</f>
        <v>2230.2399999999998</v>
      </c>
      <c r="E21" s="81"/>
      <c r="F21" s="98">
        <v>80</v>
      </c>
      <c r="G21" s="103" t="s">
        <v>108</v>
      </c>
      <c r="H21" s="104">
        <f>H22*80</f>
        <v>2222.4</v>
      </c>
      <c r="I21" s="81"/>
      <c r="J21" s="81"/>
      <c r="K21" s="81"/>
    </row>
    <row r="22" spans="1:11" x14ac:dyDescent="0.2">
      <c r="A22" s="81"/>
      <c r="B22" s="98"/>
      <c r="C22" s="101" t="s">
        <v>13</v>
      </c>
      <c r="D22" s="102">
        <f>ROUND(D20/2756,2)</f>
        <v>21.04</v>
      </c>
      <c r="E22" s="81"/>
      <c r="F22" s="98"/>
      <c r="G22" s="103" t="s">
        <v>109</v>
      </c>
      <c r="H22" s="105">
        <f>ROUND(H20/2087,2)</f>
        <v>27.78</v>
      </c>
      <c r="I22" s="81"/>
      <c r="J22" s="81"/>
      <c r="K22" s="81"/>
    </row>
    <row r="23" spans="1:11" x14ac:dyDescent="0.2">
      <c r="A23" s="81"/>
      <c r="B23" s="106">
        <f>('Start Page'!$D$29-53)*2</f>
        <v>38</v>
      </c>
      <c r="C23" s="101" t="s">
        <v>39</v>
      </c>
      <c r="D23" s="102">
        <f>D24*B23</f>
        <v>1199.28</v>
      </c>
      <c r="E23" s="81"/>
      <c r="F23" s="98">
        <v>26</v>
      </c>
      <c r="G23" s="107" t="s">
        <v>38</v>
      </c>
      <c r="H23" s="102">
        <f>H24*26</f>
        <v>547.04</v>
      </c>
      <c r="I23" s="81"/>
      <c r="J23" s="81"/>
      <c r="K23" s="81"/>
    </row>
    <row r="24" spans="1:11" x14ac:dyDescent="0.2">
      <c r="A24" s="81"/>
      <c r="B24" s="98"/>
      <c r="C24" s="101" t="s">
        <v>14</v>
      </c>
      <c r="D24" s="102">
        <f>IF(ROUND(D22*1.5,2)&lt;'Shift Firefighters'!$G$122,ROUND(D22*1.5,2),IF('Shift Firefighters'!$G$122&lt;D22,D22,'Shift Firefighters'!$G$122))</f>
        <v>31.56</v>
      </c>
      <c r="E24" s="81"/>
      <c r="F24" s="98"/>
      <c r="G24" s="107" t="s">
        <v>13</v>
      </c>
      <c r="H24" s="102">
        <f>ROUND(H20/2756,2)</f>
        <v>21.04</v>
      </c>
      <c r="I24" s="81"/>
      <c r="J24" s="81"/>
      <c r="K24" s="81"/>
    </row>
    <row r="25" spans="1:11" x14ac:dyDescent="0.2">
      <c r="A25" s="81"/>
      <c r="B25" s="108"/>
      <c r="C25" s="109" t="s">
        <v>43</v>
      </c>
      <c r="D25" s="102">
        <f>ROUND(D22*'Start Page'!$G$46,2)*B26</f>
        <v>0</v>
      </c>
      <c r="E25" s="81"/>
      <c r="F25" s="106">
        <f>('Start Page'!$D$31-53)*2</f>
        <v>14</v>
      </c>
      <c r="G25" s="107" t="s">
        <v>39</v>
      </c>
      <c r="H25" s="102">
        <f>H26*F25</f>
        <v>441.84</v>
      </c>
      <c r="I25" s="81"/>
      <c r="J25" s="81"/>
      <c r="K25" s="81"/>
    </row>
    <row r="26" spans="1:11" x14ac:dyDescent="0.2">
      <c r="A26" s="81"/>
      <c r="B26" s="98">
        <f>B21+B23</f>
        <v>144</v>
      </c>
      <c r="C26" s="110" t="s">
        <v>17</v>
      </c>
      <c r="D26" s="111">
        <f>D21+D23+D25</f>
        <v>3429.5199999999995</v>
      </c>
      <c r="E26" s="81"/>
      <c r="F26" s="98"/>
      <c r="G26" s="107" t="s">
        <v>14</v>
      </c>
      <c r="H26" s="102">
        <f>IF(ROUND(H24*1.5,2)&lt;'Shift Firefighters'!$G$122,ROUND(H24*1.5,2),IF('Shift Firefighters'!$G$122&lt;H24,H24,'Shift Firefighters'!$G$122))</f>
        <v>31.56</v>
      </c>
      <c r="I26" s="81"/>
      <c r="J26" s="81"/>
      <c r="K26" s="81"/>
    </row>
    <row r="27" spans="1:11" x14ac:dyDescent="0.2">
      <c r="A27" s="81"/>
      <c r="B27" s="98"/>
      <c r="C27" s="110" t="s">
        <v>33</v>
      </c>
      <c r="D27" s="111">
        <f>D26*26</f>
        <v>89167.51999999999</v>
      </c>
      <c r="E27" s="81"/>
      <c r="F27" s="108"/>
      <c r="G27" s="103" t="s">
        <v>43</v>
      </c>
      <c r="H27" s="102">
        <f>(ROUND(H22*'Start Page'!$G$46,2)*80)+(ROUND(H24*'Start Page'!$G$46,2)*(F28-80))</f>
        <v>0</v>
      </c>
      <c r="I27" s="81"/>
      <c r="J27" s="81"/>
      <c r="K27" s="81"/>
    </row>
    <row r="28" spans="1:11" x14ac:dyDescent="0.2">
      <c r="A28" s="81"/>
      <c r="B28" s="112"/>
      <c r="C28" s="113" t="s">
        <v>66</v>
      </c>
      <c r="D28" s="114">
        <f>D22*B26*26</f>
        <v>78773.759999999995</v>
      </c>
      <c r="E28" s="81"/>
      <c r="F28" s="98">
        <f>F21+F23+F25</f>
        <v>120</v>
      </c>
      <c r="G28" s="115" t="s">
        <v>17</v>
      </c>
      <c r="H28" s="111">
        <f>H21+H23+H25+H27</f>
        <v>3211.28</v>
      </c>
      <c r="I28" s="81"/>
      <c r="J28" s="81"/>
      <c r="K28" s="81"/>
    </row>
    <row r="29" spans="1:11" x14ac:dyDescent="0.2">
      <c r="A29" s="81"/>
      <c r="B29" s="81"/>
      <c r="C29" s="81"/>
      <c r="D29" s="81"/>
      <c r="E29" s="81"/>
      <c r="F29" s="98"/>
      <c r="G29" s="115" t="s">
        <v>33</v>
      </c>
      <c r="H29" s="111">
        <f>H28*26</f>
        <v>83493.279999999999</v>
      </c>
      <c r="I29" s="81"/>
      <c r="J29" s="81"/>
      <c r="K29" s="81"/>
    </row>
    <row r="30" spans="1:11" x14ac:dyDescent="0.2">
      <c r="A30" s="81"/>
      <c r="B30" s="81"/>
      <c r="C30" s="81"/>
      <c r="D30" s="81"/>
      <c r="E30" s="81"/>
      <c r="F30" s="112"/>
      <c r="G30" s="113" t="s">
        <v>66</v>
      </c>
      <c r="H30" s="116">
        <f>((H22*80)+(H24*(F28-80)))*26</f>
        <v>79664</v>
      </c>
      <c r="I30" s="81"/>
      <c r="J30" s="81"/>
      <c r="K30" s="81"/>
    </row>
    <row r="31" spans="1:11" x14ac:dyDescent="0.2">
      <c r="A31" s="81"/>
      <c r="B31" s="81"/>
      <c r="C31" s="81"/>
      <c r="D31" s="81"/>
      <c r="E31" s="81"/>
      <c r="F31" s="81"/>
      <c r="G31" s="81"/>
      <c r="H31" s="81"/>
      <c r="I31" s="81"/>
      <c r="J31" s="81"/>
      <c r="K31" s="81"/>
    </row>
    <row r="32" spans="1:11" x14ac:dyDescent="0.2">
      <c r="A32" s="81"/>
      <c r="B32" s="81"/>
      <c r="C32" s="81"/>
      <c r="D32" s="81"/>
      <c r="E32" s="81"/>
      <c r="F32" s="81"/>
      <c r="G32" s="81"/>
      <c r="H32" s="81"/>
      <c r="I32" s="81"/>
      <c r="J32" s="81"/>
      <c r="K32" s="81"/>
    </row>
    <row r="33" spans="6:8" x14ac:dyDescent="0.2">
      <c r="F33" s="81"/>
      <c r="G33" s="81"/>
      <c r="H33" s="81"/>
    </row>
    <row r="34" spans="6:8" x14ac:dyDescent="0.2">
      <c r="F34" s="81"/>
      <c r="G34" s="81"/>
      <c r="H34" s="81"/>
    </row>
  </sheetData>
  <sheetProtection algorithmName="SHA-512" hashValue="FFLXb5p+t3JEtv7LhxmHc/cQVv2c3jb/33crcebYpjD0X7cNadP5U0DI9PITXMpiO4SjBk1mokC5/r2aK3xRSA==" saltValue="QjPdlR5lzoygJEJCZGrGGQ==" spinCount="100000" sheet="1" objects="1" scenarios="1"/>
  <mergeCells count="9">
    <mergeCell ref="A1:I1"/>
    <mergeCell ref="A7:I7"/>
    <mergeCell ref="B17:D17"/>
    <mergeCell ref="F17:H17"/>
    <mergeCell ref="A5:I5"/>
    <mergeCell ref="D3:F3"/>
    <mergeCell ref="A9:I9"/>
    <mergeCell ref="A11:I11"/>
    <mergeCell ref="A13:I13"/>
  </mergeCells>
  <phoneticPr fontId="0" type="noConversion"/>
  <dataValidations count="1">
    <dataValidation type="decimal" allowBlank="1" showInputMessage="1" showErrorMessage="1" errorTitle="Invalid Information" error="Please check your number!" sqref="C15" xr:uid="{00000000-0002-0000-0400-000000000000}">
      <formula1>0</formula1>
      <formula2>200000</formula2>
    </dataValidation>
  </dataValidations>
  <hyperlinks>
    <hyperlink ref="D3" location="'Start Page'!C4" display="Return to Start Page" xr:uid="{00000000-0004-0000-0400-000000000000}"/>
    <hyperlink ref="D3:F3" location="'Start Page'!G2" display="Return to Start Page" xr:uid="{00000000-0004-0000-0400-000001000000}"/>
  </hyperlinks>
  <pageMargins left="0.75" right="0.75" top="1" bottom="1" header="0.5" footer="0.5"/>
  <pageSetup scale="93" orientation="landscape" horizontalDpi="300" verticalDpi="300" r:id="rId1"/>
  <headerFooter alignWithMargins="0"/>
  <legacy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4"/>
  <sheetViews>
    <sheetView showGridLines="0" workbookViewId="0">
      <selection activeCell="E6" sqref="E6:G6"/>
    </sheetView>
  </sheetViews>
  <sheetFormatPr defaultRowHeight="12.75" x14ac:dyDescent="0.2"/>
  <cols>
    <col min="1" max="1" width="9.140625" style="84"/>
    <col min="2" max="11" width="12.28515625" style="84" customWidth="1"/>
    <col min="12" max="16384" width="9.140625" style="84"/>
  </cols>
  <sheetData>
    <row r="1" spans="1:11" s="81" customFormat="1" ht="25.5" customHeight="1" x14ac:dyDescent="0.4">
      <c r="A1" s="177" t="str">
        <f>'Start Page'!$C$62&amp;" General Schedule Pay Chart"</f>
        <v>2021 General Schedule Pay Chart</v>
      </c>
      <c r="B1" s="177"/>
      <c r="C1" s="177"/>
      <c r="D1" s="177"/>
      <c r="E1" s="177"/>
      <c r="F1" s="177"/>
      <c r="G1" s="177"/>
      <c r="H1" s="177"/>
      <c r="I1" s="177"/>
      <c r="J1" s="177"/>
      <c r="K1" s="177"/>
    </row>
    <row r="2" spans="1:11" s="81" customFormat="1" ht="25.5" customHeight="1" x14ac:dyDescent="0.25">
      <c r="A2" s="182" t="str">
        <f>"Locality/COLA Area: "&amp;'Start Page'!C44</f>
        <v>Locality/COLA Area: Rest of the United States</v>
      </c>
      <c r="B2" s="182"/>
      <c r="C2" s="182"/>
      <c r="D2" s="182"/>
      <c r="E2" s="182"/>
      <c r="F2" s="182"/>
      <c r="G2" s="182"/>
      <c r="H2" s="182"/>
      <c r="I2" s="182"/>
      <c r="J2" s="182"/>
      <c r="K2" s="182"/>
    </row>
    <row r="3" spans="1:11" x14ac:dyDescent="0.2">
      <c r="E3" s="91"/>
      <c r="F3" s="117" t="s">
        <v>63</v>
      </c>
      <c r="G3" s="118">
        <f>'Start Page'!C46</f>
        <v>0.1595</v>
      </c>
      <c r="H3" s="88"/>
    </row>
    <row r="4" spans="1:11" x14ac:dyDescent="0.2">
      <c r="E4" s="91"/>
      <c r="F4" s="117" t="s">
        <v>83</v>
      </c>
      <c r="G4" s="118">
        <f>'Start Page'!G46</f>
        <v>0</v>
      </c>
      <c r="H4" s="88"/>
    </row>
    <row r="5" spans="1:11" x14ac:dyDescent="0.2">
      <c r="E5" s="179" t="str">
        <f>IF('Start Page'!$C$62='GS Pay Calculator'!B2,"","Warning! These pay figures are now estimates only!")</f>
        <v/>
      </c>
      <c r="F5" s="179"/>
      <c r="G5" s="179"/>
      <c r="H5" s="179"/>
    </row>
    <row r="6" spans="1:11" x14ac:dyDescent="0.2">
      <c r="E6" s="178" t="s">
        <v>82</v>
      </c>
      <c r="F6" s="178"/>
      <c r="G6" s="178"/>
    </row>
    <row r="7" spans="1:11" ht="12.75" customHeight="1" x14ac:dyDescent="0.2">
      <c r="A7" s="119" t="s">
        <v>27</v>
      </c>
      <c r="B7" s="180" t="s">
        <v>28</v>
      </c>
      <c r="C7" s="181"/>
      <c r="D7" s="181"/>
      <c r="E7" s="181"/>
      <c r="F7" s="181"/>
      <c r="G7" s="181"/>
      <c r="H7" s="181"/>
      <c r="I7" s="181"/>
      <c r="J7" s="181"/>
      <c r="K7" s="181"/>
    </row>
    <row r="8" spans="1:11" x14ac:dyDescent="0.2">
      <c r="A8" s="120" t="s">
        <v>29</v>
      </c>
      <c r="B8" s="121">
        <v>1</v>
      </c>
      <c r="C8" s="121">
        <v>2</v>
      </c>
      <c r="D8" s="121">
        <v>3</v>
      </c>
      <c r="E8" s="121">
        <v>4</v>
      </c>
      <c r="F8" s="121">
        <v>5</v>
      </c>
      <c r="G8" s="121">
        <v>6</v>
      </c>
      <c r="H8" s="121">
        <v>7</v>
      </c>
      <c r="I8" s="121">
        <v>8</v>
      </c>
      <c r="J8" s="121">
        <v>9</v>
      </c>
      <c r="K8" s="121">
        <v>10</v>
      </c>
    </row>
    <row r="9" spans="1:11" x14ac:dyDescent="0.2">
      <c r="A9" s="122">
        <v>3</v>
      </c>
      <c r="B9" s="123">
        <f>ROUND('GS Pay - No Locality'!B4+('GS Pay - No Locality'!B4*$G$3),0)</f>
        <v>28078</v>
      </c>
      <c r="C9" s="123">
        <f>ROUND('GS Pay - No Locality'!C4+('GS Pay - No Locality'!C4*$G$3),0)</f>
        <v>29014</v>
      </c>
      <c r="D9" s="123">
        <f>ROUND('GS Pay - No Locality'!D4+('GS Pay - No Locality'!D4*$G$3),0)</f>
        <v>29950</v>
      </c>
      <c r="E9" s="123">
        <f>ROUND('GS Pay - No Locality'!E4+('GS Pay - No Locality'!E4*$G$3),0)</f>
        <v>30886</v>
      </c>
      <c r="F9" s="123">
        <f>ROUND('GS Pay - No Locality'!F4+('GS Pay - No Locality'!F4*$G$3),0)</f>
        <v>31821</v>
      </c>
      <c r="G9" s="123">
        <f>ROUND('GS Pay - No Locality'!G4+('GS Pay - No Locality'!G4*$G$3),0)</f>
        <v>32757</v>
      </c>
      <c r="H9" s="123">
        <f>ROUND('GS Pay - No Locality'!H4+('GS Pay - No Locality'!H4*$G$3),0)</f>
        <v>33693</v>
      </c>
      <c r="I9" s="123">
        <f>ROUND('GS Pay - No Locality'!I4+('GS Pay - No Locality'!I4*$G$3),0)</f>
        <v>34628</v>
      </c>
      <c r="J9" s="123">
        <f>ROUND('GS Pay - No Locality'!J4+('GS Pay - No Locality'!J4*$G$3),0)</f>
        <v>35564</v>
      </c>
      <c r="K9" s="123">
        <f>ROUND('GS Pay - No Locality'!K4+('GS Pay - No Locality'!K4*$G$3),0)</f>
        <v>36500</v>
      </c>
    </row>
    <row r="10" spans="1:11" x14ac:dyDescent="0.2">
      <c r="A10" s="122">
        <v>4</v>
      </c>
      <c r="B10" s="123">
        <f>ROUND('GS Pay - No Locality'!B5+('GS Pay - No Locality'!B5*$G$3),0)</f>
        <v>31520</v>
      </c>
      <c r="C10" s="123">
        <f>ROUND('GS Pay - No Locality'!C5+('GS Pay - No Locality'!C5*$G$3),0)</f>
        <v>32570</v>
      </c>
      <c r="D10" s="123">
        <f>ROUND('GS Pay - No Locality'!D5+('GS Pay - No Locality'!D5*$G$3),0)</f>
        <v>33621</v>
      </c>
      <c r="E10" s="123">
        <f>ROUND('GS Pay - No Locality'!E5+('GS Pay - No Locality'!E5*$G$3),0)</f>
        <v>34671</v>
      </c>
      <c r="F10" s="123">
        <f>ROUND('GS Pay - No Locality'!F5+('GS Pay - No Locality'!F5*$G$3),0)</f>
        <v>35722</v>
      </c>
      <c r="G10" s="123">
        <f>ROUND('GS Pay - No Locality'!G5+('GS Pay - No Locality'!G5*$G$3),0)</f>
        <v>36772</v>
      </c>
      <c r="H10" s="123">
        <f>ROUND('GS Pay - No Locality'!H5+('GS Pay - No Locality'!H5*$G$3),0)</f>
        <v>37823</v>
      </c>
      <c r="I10" s="123">
        <f>ROUND('GS Pay - No Locality'!I5+('GS Pay - No Locality'!I5*$G$3),0)</f>
        <v>38873</v>
      </c>
      <c r="J10" s="123">
        <f>ROUND('GS Pay - No Locality'!J5+('GS Pay - No Locality'!J5*$G$3),0)</f>
        <v>39924</v>
      </c>
      <c r="K10" s="123">
        <f>ROUND('GS Pay - No Locality'!K5+('GS Pay - No Locality'!K5*$G$3),0)</f>
        <v>40974</v>
      </c>
    </row>
    <row r="11" spans="1:11" x14ac:dyDescent="0.2">
      <c r="A11" s="122">
        <v>5</v>
      </c>
      <c r="B11" s="123">
        <f>ROUND('GS Pay - No Locality'!B6+('GS Pay - No Locality'!B6*$G$3),0)</f>
        <v>35265</v>
      </c>
      <c r="C11" s="123">
        <f>ROUND('GS Pay - No Locality'!C6+('GS Pay - No Locality'!C6*$G$3),0)</f>
        <v>36441</v>
      </c>
      <c r="D11" s="123">
        <f>ROUND('GS Pay - No Locality'!D6+('GS Pay - No Locality'!D6*$G$3),0)</f>
        <v>37616</v>
      </c>
      <c r="E11" s="123">
        <f>ROUND('GS Pay - No Locality'!E6+('GS Pay - No Locality'!E6*$G$3),0)</f>
        <v>38792</v>
      </c>
      <c r="F11" s="123">
        <f>ROUND('GS Pay - No Locality'!F6+('GS Pay - No Locality'!F6*$G$3),0)</f>
        <v>39968</v>
      </c>
      <c r="G11" s="123">
        <f>ROUND('GS Pay - No Locality'!G6+('GS Pay - No Locality'!G6*$G$3),0)</f>
        <v>41144</v>
      </c>
      <c r="H11" s="123">
        <f>ROUND('GS Pay - No Locality'!H6+('GS Pay - No Locality'!H6*$G$3),0)</f>
        <v>42319</v>
      </c>
      <c r="I11" s="123">
        <f>ROUND('GS Pay - No Locality'!I6+('GS Pay - No Locality'!I6*$G$3),0)</f>
        <v>43495</v>
      </c>
      <c r="J11" s="123">
        <f>ROUND('GS Pay - No Locality'!J6+('GS Pay - No Locality'!J6*$G$3),0)</f>
        <v>44671</v>
      </c>
      <c r="K11" s="123">
        <f>ROUND('GS Pay - No Locality'!K6+('GS Pay - No Locality'!K6*$G$3),0)</f>
        <v>45847</v>
      </c>
    </row>
    <row r="12" spans="1:11" x14ac:dyDescent="0.2">
      <c r="A12" s="122">
        <v>6</v>
      </c>
      <c r="B12" s="123">
        <f>ROUND('GS Pay - No Locality'!B7+('GS Pay - No Locality'!B7*$G$3),0)</f>
        <v>39311</v>
      </c>
      <c r="C12" s="123">
        <f>ROUND('GS Pay - No Locality'!C7+('GS Pay - No Locality'!C7*$G$3),0)</f>
        <v>40621</v>
      </c>
      <c r="D12" s="123">
        <f>ROUND('GS Pay - No Locality'!D7+('GS Pay - No Locality'!D7*$G$3),0)</f>
        <v>41931</v>
      </c>
      <c r="E12" s="123">
        <f>ROUND('GS Pay - No Locality'!E7+('GS Pay - No Locality'!E7*$G$3),0)</f>
        <v>43241</v>
      </c>
      <c r="F12" s="123">
        <f>ROUND('GS Pay - No Locality'!F7+('GS Pay - No Locality'!F7*$G$3),0)</f>
        <v>44551</v>
      </c>
      <c r="G12" s="123">
        <f>ROUND('GS Pay - No Locality'!G7+('GS Pay - No Locality'!G7*$G$3),0)</f>
        <v>45862</v>
      </c>
      <c r="H12" s="123">
        <f>ROUND('GS Pay - No Locality'!H7+('GS Pay - No Locality'!H7*$G$3),0)</f>
        <v>47172</v>
      </c>
      <c r="I12" s="123">
        <f>ROUND('GS Pay - No Locality'!I7+('GS Pay - No Locality'!I7*$G$3),0)</f>
        <v>48482</v>
      </c>
      <c r="J12" s="123">
        <f>ROUND('GS Pay - No Locality'!J7+('GS Pay - No Locality'!J7*$G$3),0)</f>
        <v>49792</v>
      </c>
      <c r="K12" s="123">
        <f>ROUND('GS Pay - No Locality'!K7+('GS Pay - No Locality'!K7*$G$3),0)</f>
        <v>51103</v>
      </c>
    </row>
    <row r="13" spans="1:11" x14ac:dyDescent="0.2">
      <c r="A13" s="122">
        <v>7</v>
      </c>
      <c r="B13" s="123">
        <f>ROUND('GS Pay - No Locality'!B8+('GS Pay - No Locality'!B8*$G$3),0)</f>
        <v>43683</v>
      </c>
      <c r="C13" s="123">
        <f>ROUND('GS Pay - No Locality'!C8+('GS Pay - No Locality'!C8*$G$3),0)</f>
        <v>45139</v>
      </c>
      <c r="D13" s="123">
        <f>ROUND('GS Pay - No Locality'!D8+('GS Pay - No Locality'!D8*$G$3),0)</f>
        <v>46596</v>
      </c>
      <c r="E13" s="123">
        <f>ROUND('GS Pay - No Locality'!E8+('GS Pay - No Locality'!E8*$G$3),0)</f>
        <v>48052</v>
      </c>
      <c r="F13" s="123">
        <f>ROUND('GS Pay - No Locality'!F8+('GS Pay - No Locality'!F8*$G$3),0)</f>
        <v>49508</v>
      </c>
      <c r="G13" s="123">
        <f>ROUND('GS Pay - No Locality'!G8+('GS Pay - No Locality'!G8*$G$3),0)</f>
        <v>50965</v>
      </c>
      <c r="H13" s="123">
        <f>ROUND('GS Pay - No Locality'!H8+('GS Pay - No Locality'!H8*$G$3),0)</f>
        <v>52421</v>
      </c>
      <c r="I13" s="123">
        <f>ROUND('GS Pay - No Locality'!I8+('GS Pay - No Locality'!I8*$G$3),0)</f>
        <v>53877</v>
      </c>
      <c r="J13" s="123">
        <f>ROUND('GS Pay - No Locality'!J8+('GS Pay - No Locality'!J8*$G$3),0)</f>
        <v>55334</v>
      </c>
      <c r="K13" s="123">
        <f>ROUND('GS Pay - No Locality'!K8+('GS Pay - No Locality'!K8*$G$3),0)</f>
        <v>56790</v>
      </c>
    </row>
    <row r="14" spans="1:11" x14ac:dyDescent="0.2">
      <c r="A14" s="122">
        <v>8</v>
      </c>
      <c r="B14" s="123">
        <f>ROUND('GS Pay - No Locality'!B9+('GS Pay - No Locality'!B9*$G$3),0)</f>
        <v>48378</v>
      </c>
      <c r="C14" s="123">
        <f>ROUND('GS Pay - No Locality'!C9+('GS Pay - No Locality'!C9*$G$3),0)</f>
        <v>49991</v>
      </c>
      <c r="D14" s="123">
        <f>ROUND('GS Pay - No Locality'!D9+('GS Pay - No Locality'!D9*$G$3),0)</f>
        <v>51604</v>
      </c>
      <c r="E14" s="123">
        <f>ROUND('GS Pay - No Locality'!E9+('GS Pay - No Locality'!E9*$G$3),0)</f>
        <v>53216</v>
      </c>
      <c r="F14" s="123">
        <f>ROUND('GS Pay - No Locality'!F9+('GS Pay - No Locality'!F9*$G$3),0)</f>
        <v>54829</v>
      </c>
      <c r="G14" s="123">
        <f>ROUND('GS Pay - No Locality'!G9+('GS Pay - No Locality'!G9*$G$3),0)</f>
        <v>56442</v>
      </c>
      <c r="H14" s="123">
        <f>ROUND('GS Pay - No Locality'!H9+('GS Pay - No Locality'!H9*$G$3),0)</f>
        <v>58055</v>
      </c>
      <c r="I14" s="123">
        <f>ROUND('GS Pay - No Locality'!I9+('GS Pay - No Locality'!I9*$G$3),0)</f>
        <v>59668</v>
      </c>
      <c r="J14" s="123">
        <f>ROUND('GS Pay - No Locality'!J9+('GS Pay - No Locality'!J9*$G$3),0)</f>
        <v>61281</v>
      </c>
      <c r="K14" s="123">
        <f>ROUND('GS Pay - No Locality'!K9+('GS Pay - No Locality'!K9*$G$3),0)</f>
        <v>62894</v>
      </c>
    </row>
    <row r="15" spans="1:11" x14ac:dyDescent="0.2">
      <c r="A15" s="122">
        <v>9</v>
      </c>
      <c r="B15" s="123">
        <f>ROUND('GS Pay - No Locality'!B10+('GS Pay - No Locality'!B10*$G$3),0)</f>
        <v>53433</v>
      </c>
      <c r="C15" s="123">
        <f>ROUND('GS Pay - No Locality'!C10+('GS Pay - No Locality'!C10*$G$3),0)</f>
        <v>55214</v>
      </c>
      <c r="D15" s="123">
        <f>ROUND('GS Pay - No Locality'!D10+('GS Pay - No Locality'!D10*$G$3),0)</f>
        <v>56995</v>
      </c>
      <c r="E15" s="123">
        <f>ROUND('GS Pay - No Locality'!E10+('GS Pay - No Locality'!E10*$G$3),0)</f>
        <v>58776</v>
      </c>
      <c r="F15" s="123">
        <f>ROUND('GS Pay - No Locality'!F10+('GS Pay - No Locality'!F10*$G$3),0)</f>
        <v>60557</v>
      </c>
      <c r="G15" s="123">
        <f>ROUND('GS Pay - No Locality'!G10+('GS Pay - No Locality'!G10*$G$3),0)</f>
        <v>62338</v>
      </c>
      <c r="H15" s="123">
        <f>ROUND('GS Pay - No Locality'!H10+('GS Pay - No Locality'!H10*$G$3),0)</f>
        <v>64119</v>
      </c>
      <c r="I15" s="123">
        <f>ROUND('GS Pay - No Locality'!I10+('GS Pay - No Locality'!I10*$G$3),0)</f>
        <v>65900</v>
      </c>
      <c r="J15" s="123">
        <f>ROUND('GS Pay - No Locality'!J10+('GS Pay - No Locality'!J10*$G$3),0)</f>
        <v>67681</v>
      </c>
      <c r="K15" s="123">
        <f>ROUND('GS Pay - No Locality'!K10+('GS Pay - No Locality'!K10*$G$3),0)</f>
        <v>69462</v>
      </c>
    </row>
    <row r="16" spans="1:11" x14ac:dyDescent="0.2">
      <c r="A16" s="122">
        <v>10</v>
      </c>
      <c r="B16" s="123">
        <f>ROUND('GS Pay - No Locality'!B11+('GS Pay - No Locality'!B11*$G$3),0)</f>
        <v>58842</v>
      </c>
      <c r="C16" s="123">
        <f>ROUND('GS Pay - No Locality'!C11+('GS Pay - No Locality'!C11*$G$3),0)</f>
        <v>60804</v>
      </c>
      <c r="D16" s="123">
        <f>ROUND('GS Pay - No Locality'!D11+('GS Pay - No Locality'!D11*$G$3),0)</f>
        <v>62766</v>
      </c>
      <c r="E16" s="123">
        <f>ROUND('GS Pay - No Locality'!E11+('GS Pay - No Locality'!E11*$G$3),0)</f>
        <v>64728</v>
      </c>
      <c r="F16" s="123">
        <f>ROUND('GS Pay - No Locality'!F11+('GS Pay - No Locality'!F11*$G$3),0)</f>
        <v>66690</v>
      </c>
      <c r="G16" s="123">
        <f>ROUND('GS Pay - No Locality'!G11+('GS Pay - No Locality'!G11*$G$3),0)</f>
        <v>68652</v>
      </c>
      <c r="H16" s="123">
        <f>ROUND('GS Pay - No Locality'!H11+('GS Pay - No Locality'!H11*$G$3),0)</f>
        <v>70614</v>
      </c>
      <c r="I16" s="123">
        <f>ROUND('GS Pay - No Locality'!I11+('GS Pay - No Locality'!I11*$G$3),0)</f>
        <v>72575</v>
      </c>
      <c r="J16" s="123">
        <f>ROUND('GS Pay - No Locality'!J11+('GS Pay - No Locality'!J11*$G$3),0)</f>
        <v>74537</v>
      </c>
      <c r="K16" s="123">
        <f>ROUND('GS Pay - No Locality'!K11+('GS Pay - No Locality'!K11*$G$3),0)</f>
        <v>76499</v>
      </c>
    </row>
    <row r="17" spans="1:11" x14ac:dyDescent="0.2">
      <c r="A17" s="122">
        <v>11</v>
      </c>
      <c r="B17" s="123">
        <f>ROUND('GS Pay - No Locality'!B12+('GS Pay - No Locality'!B12*$G$3),0)</f>
        <v>64649</v>
      </c>
      <c r="C17" s="123">
        <f>ROUND('GS Pay - No Locality'!C12+('GS Pay - No Locality'!C12*$G$3),0)</f>
        <v>66805</v>
      </c>
      <c r="D17" s="123">
        <f>ROUND('GS Pay - No Locality'!D12+('GS Pay - No Locality'!D12*$G$3),0)</f>
        <v>68960</v>
      </c>
      <c r="E17" s="123">
        <f>ROUND('GS Pay - No Locality'!E12+('GS Pay - No Locality'!E12*$G$3),0)</f>
        <v>71116</v>
      </c>
      <c r="F17" s="123">
        <f>ROUND('GS Pay - No Locality'!F12+('GS Pay - No Locality'!F12*$G$3),0)</f>
        <v>73271</v>
      </c>
      <c r="G17" s="123">
        <f>ROUND('GS Pay - No Locality'!G12+('GS Pay - No Locality'!G12*$G$3),0)</f>
        <v>75427</v>
      </c>
      <c r="H17" s="123">
        <f>ROUND('GS Pay - No Locality'!H12+('GS Pay - No Locality'!H12*$G$3),0)</f>
        <v>77582</v>
      </c>
      <c r="I17" s="123">
        <f>ROUND('GS Pay - No Locality'!I12+('GS Pay - No Locality'!I12*$G$3),0)</f>
        <v>79738</v>
      </c>
      <c r="J17" s="123">
        <f>ROUND('GS Pay - No Locality'!J12+('GS Pay - No Locality'!J12*$G$3),0)</f>
        <v>81893</v>
      </c>
      <c r="K17" s="123">
        <f>ROUND('GS Pay - No Locality'!K12+('GS Pay - No Locality'!K12*$G$3),0)</f>
        <v>84049</v>
      </c>
    </row>
    <row r="18" spans="1:11" x14ac:dyDescent="0.2">
      <c r="A18" s="122">
        <v>12</v>
      </c>
      <c r="B18" s="123">
        <f>ROUND('GS Pay - No Locality'!B13+('GS Pay - No Locality'!B13*$G$3),0)</f>
        <v>77488</v>
      </c>
      <c r="C18" s="123">
        <f>ROUND('GS Pay - No Locality'!C13+('GS Pay - No Locality'!C13*$G$3),0)</f>
        <v>80072</v>
      </c>
      <c r="D18" s="123">
        <f>ROUND('GS Pay - No Locality'!D13+('GS Pay - No Locality'!D13*$G$3),0)</f>
        <v>82655</v>
      </c>
      <c r="E18" s="123">
        <f>ROUND('GS Pay - No Locality'!E13+('GS Pay - No Locality'!E13*$G$3),0)</f>
        <v>85238</v>
      </c>
      <c r="F18" s="123">
        <f>ROUND('GS Pay - No Locality'!F13+('GS Pay - No Locality'!F13*$G$3),0)</f>
        <v>87822</v>
      </c>
      <c r="G18" s="123">
        <f>ROUND('GS Pay - No Locality'!G13+('GS Pay - No Locality'!G13*$G$3),0)</f>
        <v>90405</v>
      </c>
      <c r="H18" s="123">
        <f>ROUND('GS Pay - No Locality'!H13+('GS Pay - No Locality'!H13*$G$3),0)</f>
        <v>92988</v>
      </c>
      <c r="I18" s="123">
        <f>ROUND('GS Pay - No Locality'!I13+('GS Pay - No Locality'!I13*$G$3),0)</f>
        <v>95572</v>
      </c>
      <c r="J18" s="123">
        <f>ROUND('GS Pay - No Locality'!J13+('GS Pay - No Locality'!J13*$G$3),0)</f>
        <v>98155</v>
      </c>
      <c r="K18" s="123">
        <f>ROUND('GS Pay - No Locality'!K13+('GS Pay - No Locality'!K13*$G$3),0)</f>
        <v>100739</v>
      </c>
    </row>
    <row r="19" spans="1:11" x14ac:dyDescent="0.2">
      <c r="A19" s="122">
        <v>13</v>
      </c>
      <c r="B19" s="123">
        <f>ROUND('GS Pay - No Locality'!B14+('GS Pay - No Locality'!B14*$G$3),0)</f>
        <v>92143</v>
      </c>
      <c r="C19" s="123">
        <f>ROUND('GS Pay - No Locality'!C14+('GS Pay - No Locality'!C14*$G$3),0)</f>
        <v>95215</v>
      </c>
      <c r="D19" s="123">
        <f>ROUND('GS Pay - No Locality'!D14+('GS Pay - No Locality'!D14*$G$3),0)</f>
        <v>98286</v>
      </c>
      <c r="E19" s="123">
        <f>ROUND('GS Pay - No Locality'!E14+('GS Pay - No Locality'!E14*$G$3),0)</f>
        <v>101358</v>
      </c>
      <c r="F19" s="123">
        <f>ROUND('GS Pay - No Locality'!F14+('GS Pay - No Locality'!F14*$G$3),0)</f>
        <v>104429</v>
      </c>
      <c r="G19" s="123">
        <f>ROUND('GS Pay - No Locality'!G14+('GS Pay - No Locality'!G14*$G$3),0)</f>
        <v>107501</v>
      </c>
      <c r="H19" s="123">
        <f>ROUND('GS Pay - No Locality'!H14+('GS Pay - No Locality'!H14*$G$3),0)</f>
        <v>110572</v>
      </c>
      <c r="I19" s="123">
        <f>ROUND('GS Pay - No Locality'!I14+('GS Pay - No Locality'!I14*$G$3),0)</f>
        <v>113644</v>
      </c>
      <c r="J19" s="123">
        <f>ROUND('GS Pay - No Locality'!J14+('GS Pay - No Locality'!J14*$G$3),0)</f>
        <v>116715</v>
      </c>
      <c r="K19" s="123">
        <f>ROUND('GS Pay - No Locality'!K14+('GS Pay - No Locality'!K14*$G$3),0)</f>
        <v>119787</v>
      </c>
    </row>
    <row r="20" spans="1:11" x14ac:dyDescent="0.2">
      <c r="A20" s="122">
        <v>14</v>
      </c>
      <c r="B20" s="123">
        <f>ROUND('GS Pay - No Locality'!B15+('GS Pay - No Locality'!B15*$G$3),0)</f>
        <v>108885</v>
      </c>
      <c r="C20" s="123">
        <f>ROUND('GS Pay - No Locality'!C15+('GS Pay - No Locality'!C15*$G$3),0)</f>
        <v>112514</v>
      </c>
      <c r="D20" s="123">
        <f>ROUND('GS Pay - No Locality'!D15+('GS Pay - No Locality'!D15*$G$3),0)</f>
        <v>116144</v>
      </c>
      <c r="E20" s="123">
        <f>ROUND('GS Pay - No Locality'!E15+('GS Pay - No Locality'!E15*$G$3),0)</f>
        <v>119773</v>
      </c>
      <c r="F20" s="123">
        <f>ROUND('GS Pay - No Locality'!F15+('GS Pay - No Locality'!F15*$G$3),0)</f>
        <v>123402</v>
      </c>
      <c r="G20" s="123">
        <f>ROUND('GS Pay - No Locality'!G15+('GS Pay - No Locality'!G15*$G$3),0)</f>
        <v>127031</v>
      </c>
      <c r="H20" s="123">
        <f>ROUND('GS Pay - No Locality'!H15+('GS Pay - No Locality'!H15*$G$3),0)</f>
        <v>130661</v>
      </c>
      <c r="I20" s="123">
        <f>ROUND('GS Pay - No Locality'!I15+('GS Pay - No Locality'!I15*$G$3),0)</f>
        <v>134290</v>
      </c>
      <c r="J20" s="123">
        <f>ROUND('GS Pay - No Locality'!J15+('GS Pay - No Locality'!J15*$G$3),0)</f>
        <v>137919</v>
      </c>
      <c r="K20" s="123">
        <f>ROUND('GS Pay - No Locality'!K15+('GS Pay - No Locality'!K15*$G$3),0)</f>
        <v>141548</v>
      </c>
    </row>
    <row r="21" spans="1:11" x14ac:dyDescent="0.2">
      <c r="A21" s="93"/>
    </row>
    <row r="22" spans="1:11" ht="12.75" customHeight="1" x14ac:dyDescent="0.2">
      <c r="A22" s="81"/>
      <c r="B22" s="81"/>
      <c r="C22" s="81"/>
      <c r="D22" s="81"/>
      <c r="E22" s="81"/>
      <c r="F22" s="81"/>
      <c r="G22" s="81"/>
      <c r="H22" s="81"/>
      <c r="I22" s="81"/>
      <c r="J22" s="81"/>
      <c r="K22" s="81"/>
    </row>
    <row r="23" spans="1:11" x14ac:dyDescent="0.2">
      <c r="A23" s="124" t="s">
        <v>71</v>
      </c>
      <c r="B23" s="81"/>
      <c r="C23" s="81"/>
      <c r="D23" s="81"/>
      <c r="E23" s="81"/>
      <c r="F23" s="81"/>
      <c r="G23" s="81"/>
      <c r="H23" s="81"/>
      <c r="I23" s="81"/>
      <c r="J23" s="81"/>
      <c r="K23" s="81"/>
    </row>
    <row r="24" spans="1:11" x14ac:dyDescent="0.2">
      <c r="A24" s="81"/>
      <c r="B24" s="81"/>
      <c r="C24" s="81"/>
      <c r="D24" s="81"/>
      <c r="E24" s="81"/>
      <c r="F24" s="81"/>
      <c r="G24" s="81"/>
      <c r="H24" s="81"/>
      <c r="I24" s="81"/>
      <c r="J24" s="81"/>
      <c r="K24" s="81"/>
    </row>
    <row r="25" spans="1:11" x14ac:dyDescent="0.2">
      <c r="A25" s="81"/>
      <c r="B25" s="81"/>
      <c r="C25" s="81"/>
      <c r="D25" s="81"/>
      <c r="E25" s="81"/>
      <c r="F25" s="81"/>
      <c r="G25" s="81"/>
      <c r="H25" s="81"/>
      <c r="I25" s="81"/>
      <c r="J25" s="81"/>
      <c r="K25" s="81"/>
    </row>
    <row r="26" spans="1:11" x14ac:dyDescent="0.2">
      <c r="A26" s="81"/>
      <c r="B26" s="81"/>
      <c r="C26" s="81"/>
      <c r="D26" s="81"/>
      <c r="E26" s="81"/>
      <c r="F26" s="81"/>
      <c r="G26" s="81"/>
      <c r="H26" s="81"/>
      <c r="I26" s="81"/>
      <c r="J26" s="81"/>
      <c r="K26" s="81"/>
    </row>
    <row r="27" spans="1:11" x14ac:dyDescent="0.2">
      <c r="A27" s="81"/>
      <c r="B27" s="81"/>
      <c r="C27" s="81"/>
      <c r="D27" s="81"/>
      <c r="E27" s="81"/>
      <c r="F27" s="81"/>
      <c r="G27" s="81"/>
      <c r="H27" s="81"/>
      <c r="I27" s="81"/>
      <c r="J27" s="81"/>
      <c r="K27" s="81"/>
    </row>
    <row r="28" spans="1:11" x14ac:dyDescent="0.2">
      <c r="A28" s="81"/>
      <c r="B28" s="81"/>
      <c r="C28" s="81"/>
      <c r="D28" s="81"/>
      <c r="E28" s="81"/>
      <c r="F28" s="81"/>
      <c r="G28" s="81"/>
      <c r="H28" s="81"/>
      <c r="I28" s="81"/>
      <c r="J28" s="81"/>
      <c r="K28" s="81"/>
    </row>
    <row r="29" spans="1:11" x14ac:dyDescent="0.2">
      <c r="A29" s="81"/>
      <c r="B29" s="81"/>
      <c r="C29" s="81"/>
      <c r="D29" s="81"/>
      <c r="E29" s="81"/>
      <c r="F29" s="81"/>
      <c r="G29" s="81"/>
      <c r="H29" s="81"/>
      <c r="I29" s="81"/>
      <c r="J29" s="81"/>
      <c r="K29" s="81"/>
    </row>
    <row r="30" spans="1:11" x14ac:dyDescent="0.2">
      <c r="A30" s="81"/>
      <c r="B30" s="81"/>
      <c r="C30" s="81"/>
      <c r="D30" s="81"/>
      <c r="E30" s="81"/>
      <c r="F30" s="81"/>
      <c r="G30" s="81"/>
      <c r="H30" s="81"/>
      <c r="I30" s="81"/>
      <c r="J30" s="81"/>
      <c r="K30" s="81"/>
    </row>
    <row r="31" spans="1:11" x14ac:dyDescent="0.2">
      <c r="A31" s="81"/>
      <c r="B31" s="81"/>
      <c r="C31" s="81"/>
      <c r="D31" s="81"/>
      <c r="E31" s="81"/>
      <c r="F31" s="81"/>
      <c r="G31" s="81"/>
      <c r="H31" s="81"/>
      <c r="I31" s="81"/>
      <c r="J31" s="81"/>
      <c r="K31" s="81"/>
    </row>
    <row r="32" spans="1:11" x14ac:dyDescent="0.2">
      <c r="A32" s="81"/>
      <c r="B32" s="81"/>
      <c r="C32" s="81"/>
      <c r="D32" s="81"/>
      <c r="E32" s="81"/>
      <c r="F32" s="81"/>
      <c r="G32" s="81"/>
      <c r="H32" s="81"/>
      <c r="I32" s="81"/>
      <c r="J32" s="81"/>
      <c r="K32" s="81"/>
    </row>
    <row r="33" spans="1:11" x14ac:dyDescent="0.2">
      <c r="A33" s="81"/>
      <c r="B33" s="81"/>
      <c r="C33" s="81"/>
      <c r="D33" s="81"/>
      <c r="E33" s="81"/>
      <c r="F33" s="81"/>
      <c r="G33" s="81"/>
      <c r="H33" s="81"/>
      <c r="I33" s="81"/>
      <c r="J33" s="81"/>
      <c r="K33" s="81"/>
    </row>
    <row r="34" spans="1:11" x14ac:dyDescent="0.2">
      <c r="A34" s="81"/>
      <c r="B34" s="81"/>
      <c r="C34" s="81"/>
      <c r="D34" s="81"/>
      <c r="E34" s="81"/>
      <c r="F34" s="81"/>
      <c r="G34" s="81"/>
      <c r="H34" s="81"/>
      <c r="I34" s="81"/>
      <c r="J34" s="81"/>
      <c r="K34" s="81"/>
    </row>
  </sheetData>
  <sheetProtection algorithmName="SHA-512" hashValue="Ux//djyzCQMjG9xaNCF0Tjnvr/6uBcSvX31+jRW5bCbb5SQWr4jd7V+S+WHDQJBwA+MIjh8rO9NbB1KSbAFHbQ==" saltValue="IqmUQHtUj/3RrJ5w3q8/ww==" spinCount="100000" sheet="1" objects="1" scenarios="1"/>
  <mergeCells count="5">
    <mergeCell ref="A1:K1"/>
    <mergeCell ref="E6:G6"/>
    <mergeCell ref="E5:H5"/>
    <mergeCell ref="B7:K7"/>
    <mergeCell ref="A2:K2"/>
  </mergeCells>
  <phoneticPr fontId="0" type="noConversion"/>
  <hyperlinks>
    <hyperlink ref="E6:F6" location="'Start Page'!G2" display="Return to Start Page" xr:uid="{00000000-0004-0000-0500-000000000000}"/>
  </hyperlinks>
  <printOptions horizontalCentered="1"/>
  <pageMargins left="0.75" right="0.75" top="1" bottom="1" header="0.5" footer="0.5"/>
  <pageSetup scale="90" orientation="landscape" horizontalDpi="300" verticalDpi="300" r:id="rId1"/>
  <headerFooter alignWithMargins="0"/>
  <picture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4"/>
  <sheetViews>
    <sheetView showGridLines="0" zoomScaleNormal="100" workbookViewId="0">
      <pane xSplit="3" ySplit="6" topLeftCell="D7" activePane="bottomRight" state="frozen"/>
      <selection pane="topRight" activeCell="D1" sqref="D1"/>
      <selection pane="bottomLeft" activeCell="A7" sqref="A7"/>
      <selection pane="bottomRight" activeCell="G5" sqref="G5:H5"/>
    </sheetView>
  </sheetViews>
  <sheetFormatPr defaultRowHeight="12.75" x14ac:dyDescent="0.2"/>
  <cols>
    <col min="1" max="2" width="7.140625" style="81" customWidth="1"/>
    <col min="3" max="3" width="13.85546875" style="81" customWidth="1"/>
    <col min="4" max="13" width="12.7109375" style="81" customWidth="1"/>
    <col min="14" max="16384" width="9.140625" style="81"/>
  </cols>
  <sheetData>
    <row r="1" spans="1:13" ht="25.5" customHeight="1" x14ac:dyDescent="0.4">
      <c r="A1" s="177" t="str">
        <f>'Start Page'!$C$62&amp;" Federal Firefighter Pay Chart"</f>
        <v>2021 Federal Firefighter Pay Chart</v>
      </c>
      <c r="B1" s="177"/>
      <c r="C1" s="177"/>
      <c r="D1" s="177"/>
      <c r="E1" s="177"/>
      <c r="F1" s="177"/>
      <c r="G1" s="177"/>
      <c r="H1" s="177"/>
      <c r="I1" s="177"/>
      <c r="J1" s="177"/>
      <c r="K1" s="177"/>
      <c r="L1" s="177"/>
      <c r="M1" s="177"/>
    </row>
    <row r="2" spans="1:13" ht="25.5" customHeight="1" x14ac:dyDescent="0.3">
      <c r="A2" s="173" t="str">
        <f>"Locality/COLA Area: "&amp;'Start Page'!C44</f>
        <v>Locality/COLA Area: Rest of the United States</v>
      </c>
      <c r="B2" s="173"/>
      <c r="C2" s="173"/>
      <c r="D2" s="173"/>
      <c r="E2" s="173"/>
      <c r="F2" s="173"/>
      <c r="G2" s="173"/>
      <c r="H2" s="173"/>
      <c r="I2" s="173"/>
      <c r="J2" s="173"/>
      <c r="K2" s="173"/>
      <c r="L2" s="173"/>
      <c r="M2" s="173"/>
    </row>
    <row r="3" spans="1:13" ht="25.5" customHeight="1" x14ac:dyDescent="0.4">
      <c r="G3" s="125">
        <f>'Start Page'!D29</f>
        <v>72</v>
      </c>
      <c r="H3" s="126" t="s">
        <v>37</v>
      </c>
    </row>
    <row r="4" spans="1:13" ht="12.75" customHeight="1" x14ac:dyDescent="0.2">
      <c r="F4" s="179" t="str">
        <f>IF('Start Page'!$C$62='GS Pay Calculator'!B2,"","Warning! These pay figures are now estimates only!")</f>
        <v/>
      </c>
      <c r="G4" s="179"/>
      <c r="H4" s="179"/>
      <c r="I4" s="179"/>
    </row>
    <row r="5" spans="1:13" ht="12.75" customHeight="1" x14ac:dyDescent="0.2">
      <c r="G5" s="178" t="s">
        <v>82</v>
      </c>
      <c r="H5" s="178"/>
      <c r="I5" s="127"/>
      <c r="J5" s="127"/>
    </row>
    <row r="6" spans="1:13" x14ac:dyDescent="0.2">
      <c r="A6" s="96" t="s">
        <v>0</v>
      </c>
      <c r="B6" s="96" t="s">
        <v>40</v>
      </c>
      <c r="C6" s="96" t="s">
        <v>1</v>
      </c>
      <c r="D6" s="96" t="s">
        <v>2</v>
      </c>
      <c r="E6" s="96" t="s">
        <v>3</v>
      </c>
      <c r="F6" s="96" t="s">
        <v>4</v>
      </c>
      <c r="G6" s="96" t="s">
        <v>5</v>
      </c>
      <c r="H6" s="96" t="s">
        <v>6</v>
      </c>
      <c r="I6" s="96" t="s">
        <v>7</v>
      </c>
      <c r="J6" s="96" t="s">
        <v>8</v>
      </c>
      <c r="K6" s="96" t="s">
        <v>9</v>
      </c>
      <c r="L6" s="96" t="s">
        <v>10</v>
      </c>
      <c r="M6" s="96" t="s">
        <v>11</v>
      </c>
    </row>
    <row r="7" spans="1:13" x14ac:dyDescent="0.2">
      <c r="A7" s="98"/>
      <c r="B7" s="98"/>
      <c r="C7" s="128" t="s">
        <v>30</v>
      </c>
      <c r="D7" s="129">
        <f>'GS Pay Scale'!B9</f>
        <v>28078</v>
      </c>
      <c r="E7" s="129">
        <f>'GS Pay Scale'!C9</f>
        <v>29014</v>
      </c>
      <c r="F7" s="129">
        <f>'GS Pay Scale'!D9</f>
        <v>29950</v>
      </c>
      <c r="G7" s="129">
        <f>'GS Pay Scale'!E9</f>
        <v>30886</v>
      </c>
      <c r="H7" s="129">
        <f>'GS Pay Scale'!F9</f>
        <v>31821</v>
      </c>
      <c r="I7" s="129">
        <f>'GS Pay Scale'!G9</f>
        <v>32757</v>
      </c>
      <c r="J7" s="129">
        <f>'GS Pay Scale'!H9</f>
        <v>33693</v>
      </c>
      <c r="K7" s="129">
        <f>'GS Pay Scale'!I9</f>
        <v>34628</v>
      </c>
      <c r="L7" s="129">
        <f>'GS Pay Scale'!J9</f>
        <v>35564</v>
      </c>
      <c r="M7" s="129">
        <f>'GS Pay Scale'!K9</f>
        <v>36500</v>
      </c>
    </row>
    <row r="8" spans="1:13" x14ac:dyDescent="0.2">
      <c r="A8" s="98"/>
      <c r="B8" s="98">
        <v>106</v>
      </c>
      <c r="C8" s="107" t="s">
        <v>38</v>
      </c>
      <c r="D8" s="130">
        <f t="shared" ref="D8:M8" si="0">D9*106</f>
        <v>1080.1399999999999</v>
      </c>
      <c r="E8" s="130">
        <f t="shared" si="0"/>
        <v>1116.1799999999998</v>
      </c>
      <c r="F8" s="130">
        <f t="shared" si="0"/>
        <v>1152.22</v>
      </c>
      <c r="G8" s="130">
        <f t="shared" si="0"/>
        <v>1188.26</v>
      </c>
      <c r="H8" s="130">
        <f t="shared" si="0"/>
        <v>1224.3000000000002</v>
      </c>
      <c r="I8" s="130">
        <f t="shared" si="0"/>
        <v>1260.3400000000001</v>
      </c>
      <c r="J8" s="130">
        <f t="shared" si="0"/>
        <v>1296.3800000000001</v>
      </c>
      <c r="K8" s="130">
        <f t="shared" si="0"/>
        <v>1331.3600000000001</v>
      </c>
      <c r="L8" s="130">
        <f t="shared" si="0"/>
        <v>1367.4</v>
      </c>
      <c r="M8" s="130">
        <f t="shared" si="0"/>
        <v>1403.44</v>
      </c>
    </row>
    <row r="9" spans="1:13" x14ac:dyDescent="0.2">
      <c r="A9" s="98"/>
      <c r="B9" s="98"/>
      <c r="C9" s="107" t="s">
        <v>13</v>
      </c>
      <c r="D9" s="130">
        <f>ROUND(D7/2756,2)</f>
        <v>10.19</v>
      </c>
      <c r="E9" s="130">
        <f t="shared" ref="E9:M9" si="1">ROUND(E7/2756,2)</f>
        <v>10.53</v>
      </c>
      <c r="F9" s="130">
        <f t="shared" si="1"/>
        <v>10.87</v>
      </c>
      <c r="G9" s="130">
        <f t="shared" si="1"/>
        <v>11.21</v>
      </c>
      <c r="H9" s="130">
        <f t="shared" si="1"/>
        <v>11.55</v>
      </c>
      <c r="I9" s="130">
        <f t="shared" si="1"/>
        <v>11.89</v>
      </c>
      <c r="J9" s="130">
        <f t="shared" si="1"/>
        <v>12.23</v>
      </c>
      <c r="K9" s="130">
        <f t="shared" si="1"/>
        <v>12.56</v>
      </c>
      <c r="L9" s="130">
        <f t="shared" si="1"/>
        <v>12.9</v>
      </c>
      <c r="M9" s="130">
        <f t="shared" si="1"/>
        <v>13.24</v>
      </c>
    </row>
    <row r="10" spans="1:13" x14ac:dyDescent="0.2">
      <c r="A10" s="101"/>
      <c r="B10" s="106">
        <f>($G$3-53)*2</f>
        <v>38</v>
      </c>
      <c r="C10" s="107" t="s">
        <v>39</v>
      </c>
      <c r="D10" s="130">
        <f>D11*$B$10</f>
        <v>581.02</v>
      </c>
      <c r="E10" s="130">
        <f t="shared" ref="E10:M10" si="2">E11*$B$10</f>
        <v>600.4</v>
      </c>
      <c r="F10" s="130">
        <f t="shared" si="2"/>
        <v>619.78</v>
      </c>
      <c r="G10" s="130">
        <f t="shared" si="2"/>
        <v>639.16</v>
      </c>
      <c r="H10" s="130">
        <f t="shared" si="2"/>
        <v>658.54</v>
      </c>
      <c r="I10" s="130">
        <f t="shared" si="2"/>
        <v>677.92</v>
      </c>
      <c r="J10" s="130">
        <f t="shared" si="2"/>
        <v>697.30000000000007</v>
      </c>
      <c r="K10" s="130">
        <f t="shared" si="2"/>
        <v>715.92</v>
      </c>
      <c r="L10" s="130">
        <f t="shared" si="2"/>
        <v>735.30000000000007</v>
      </c>
      <c r="M10" s="130">
        <f t="shared" si="2"/>
        <v>754.68</v>
      </c>
    </row>
    <row r="11" spans="1:13" x14ac:dyDescent="0.2">
      <c r="A11" s="98" t="s">
        <v>22</v>
      </c>
      <c r="B11" s="98"/>
      <c r="C11" s="107" t="s">
        <v>14</v>
      </c>
      <c r="D11" s="130">
        <f>IF(ROUND(D9*1.5,2)&lt;$G$122,ROUND(D9*1.5,2),IF($G$122&lt;D9,D9,$G$122))</f>
        <v>15.29</v>
      </c>
      <c r="E11" s="130">
        <f t="shared" ref="E11:M11" si="3">IF(ROUND(E9*1.5,2)&lt;$G$122,ROUND(E9*1.5,2),IF($G$122&lt;E9,E9,$G$122))</f>
        <v>15.8</v>
      </c>
      <c r="F11" s="130">
        <f t="shared" si="3"/>
        <v>16.309999999999999</v>
      </c>
      <c r="G11" s="130">
        <f t="shared" si="3"/>
        <v>16.82</v>
      </c>
      <c r="H11" s="130">
        <f t="shared" si="3"/>
        <v>17.329999999999998</v>
      </c>
      <c r="I11" s="130">
        <f t="shared" si="3"/>
        <v>17.84</v>
      </c>
      <c r="J11" s="130">
        <f t="shared" si="3"/>
        <v>18.350000000000001</v>
      </c>
      <c r="K11" s="130">
        <f t="shared" si="3"/>
        <v>18.84</v>
      </c>
      <c r="L11" s="130">
        <f t="shared" si="3"/>
        <v>19.350000000000001</v>
      </c>
      <c r="M11" s="130">
        <f t="shared" si="3"/>
        <v>19.86</v>
      </c>
    </row>
    <row r="12" spans="1:13" s="84" customFormat="1" x14ac:dyDescent="0.2">
      <c r="A12" s="108"/>
      <c r="B12" s="108"/>
      <c r="C12" s="103" t="s">
        <v>43</v>
      </c>
      <c r="D12" s="130">
        <f>ROUND(D9*'Start Page'!$G$46,2)*$B$13</f>
        <v>0</v>
      </c>
      <c r="E12" s="130">
        <f>ROUND(E9*'Start Page'!$G$46,2)*$B$13</f>
        <v>0</v>
      </c>
      <c r="F12" s="130">
        <f>ROUND(F9*'Start Page'!$G$46,2)*$B$13</f>
        <v>0</v>
      </c>
      <c r="G12" s="130">
        <f>ROUND(G9*'Start Page'!$G$46,2)*$B$13</f>
        <v>0</v>
      </c>
      <c r="H12" s="130">
        <f>ROUND(H9*'Start Page'!$G$46,2)*$B$13</f>
        <v>0</v>
      </c>
      <c r="I12" s="130">
        <f>ROUND(I9*'Start Page'!$G$46,2)*$B$13</f>
        <v>0</v>
      </c>
      <c r="J12" s="130">
        <f>ROUND(J9*'Start Page'!$G$46,2)*$B$13</f>
        <v>0</v>
      </c>
      <c r="K12" s="130">
        <f>ROUND(K9*'Start Page'!$G$46,2)*$B$13</f>
        <v>0</v>
      </c>
      <c r="L12" s="130">
        <f>ROUND(L9*'Start Page'!$G$46,2)*$B$13</f>
        <v>0</v>
      </c>
      <c r="M12" s="130">
        <f>ROUND(M9*'Start Page'!$G$46,2)*$B$13</f>
        <v>0</v>
      </c>
    </row>
    <row r="13" spans="1:13" x14ac:dyDescent="0.2">
      <c r="A13" s="98"/>
      <c r="B13" s="98">
        <f>B8+B10</f>
        <v>144</v>
      </c>
      <c r="C13" s="115" t="s">
        <v>17</v>
      </c>
      <c r="D13" s="131">
        <f>D8+D10+D12</f>
        <v>1661.1599999999999</v>
      </c>
      <c r="E13" s="131">
        <f t="shared" ref="E13:M13" si="4">E8+E10+E12</f>
        <v>1716.58</v>
      </c>
      <c r="F13" s="131">
        <f t="shared" si="4"/>
        <v>1772</v>
      </c>
      <c r="G13" s="131">
        <f t="shared" si="4"/>
        <v>1827.42</v>
      </c>
      <c r="H13" s="131">
        <f t="shared" si="4"/>
        <v>1882.8400000000001</v>
      </c>
      <c r="I13" s="131">
        <f t="shared" si="4"/>
        <v>1938.2600000000002</v>
      </c>
      <c r="J13" s="131">
        <f t="shared" si="4"/>
        <v>1993.6800000000003</v>
      </c>
      <c r="K13" s="131">
        <f t="shared" si="4"/>
        <v>2047.2800000000002</v>
      </c>
      <c r="L13" s="131">
        <f t="shared" si="4"/>
        <v>2102.7000000000003</v>
      </c>
      <c r="M13" s="131">
        <f t="shared" si="4"/>
        <v>2158.12</v>
      </c>
    </row>
    <row r="14" spans="1:13" x14ac:dyDescent="0.2">
      <c r="A14" s="98"/>
      <c r="B14" s="98"/>
      <c r="C14" s="115" t="s">
        <v>33</v>
      </c>
      <c r="D14" s="131">
        <f>D13*26</f>
        <v>43190.159999999996</v>
      </c>
      <c r="E14" s="131">
        <f t="shared" ref="E14:M14" si="5">E13*26</f>
        <v>44631.08</v>
      </c>
      <c r="F14" s="131">
        <f t="shared" si="5"/>
        <v>46072</v>
      </c>
      <c r="G14" s="131">
        <f t="shared" si="5"/>
        <v>47512.92</v>
      </c>
      <c r="H14" s="131">
        <f t="shared" si="5"/>
        <v>48953.840000000004</v>
      </c>
      <c r="I14" s="131">
        <f t="shared" si="5"/>
        <v>50394.760000000009</v>
      </c>
      <c r="J14" s="131">
        <f t="shared" si="5"/>
        <v>51835.680000000008</v>
      </c>
      <c r="K14" s="131">
        <f t="shared" si="5"/>
        <v>53229.280000000006</v>
      </c>
      <c r="L14" s="131">
        <f t="shared" si="5"/>
        <v>54670.200000000004</v>
      </c>
      <c r="M14" s="131">
        <f t="shared" si="5"/>
        <v>56111.119999999995</v>
      </c>
    </row>
    <row r="15" spans="1:13" s="134" customFormat="1" x14ac:dyDescent="0.2">
      <c r="A15" s="112"/>
      <c r="B15" s="112"/>
      <c r="C15" s="113" t="s">
        <v>66</v>
      </c>
      <c r="D15" s="132">
        <f>D9*$B$13*26</f>
        <v>38151.360000000001</v>
      </c>
      <c r="E15" s="132">
        <f t="shared" ref="E15:M15" si="6">E9*$B$13*26</f>
        <v>39424.32</v>
      </c>
      <c r="F15" s="132">
        <f t="shared" si="6"/>
        <v>40697.279999999999</v>
      </c>
      <c r="G15" s="132">
        <f t="shared" si="6"/>
        <v>41970.240000000005</v>
      </c>
      <c r="H15" s="132">
        <f t="shared" si="6"/>
        <v>43243.200000000004</v>
      </c>
      <c r="I15" s="132">
        <f t="shared" si="6"/>
        <v>44516.160000000003</v>
      </c>
      <c r="J15" s="132">
        <f t="shared" si="6"/>
        <v>45789.120000000003</v>
      </c>
      <c r="K15" s="132">
        <f t="shared" si="6"/>
        <v>47024.639999999999</v>
      </c>
      <c r="L15" s="132">
        <f t="shared" si="6"/>
        <v>48297.600000000006</v>
      </c>
      <c r="M15" s="133">
        <f t="shared" si="6"/>
        <v>49570.559999999998</v>
      </c>
    </row>
    <row r="16" spans="1:13" x14ac:dyDescent="0.2">
      <c r="A16" s="97"/>
      <c r="B16" s="98"/>
      <c r="C16" s="128" t="s">
        <v>30</v>
      </c>
      <c r="D16" s="135">
        <f>'GS Pay Scale'!B10</f>
        <v>31520</v>
      </c>
      <c r="E16" s="135">
        <f>'GS Pay Scale'!C10</f>
        <v>32570</v>
      </c>
      <c r="F16" s="135">
        <f>'GS Pay Scale'!D10</f>
        <v>33621</v>
      </c>
      <c r="G16" s="135">
        <f>'GS Pay Scale'!E10</f>
        <v>34671</v>
      </c>
      <c r="H16" s="135">
        <f>'GS Pay Scale'!F10</f>
        <v>35722</v>
      </c>
      <c r="I16" s="135">
        <f>'GS Pay Scale'!G10</f>
        <v>36772</v>
      </c>
      <c r="J16" s="135">
        <f>'GS Pay Scale'!H10</f>
        <v>37823</v>
      </c>
      <c r="K16" s="135">
        <f>'GS Pay Scale'!I10</f>
        <v>38873</v>
      </c>
      <c r="L16" s="135">
        <f>'GS Pay Scale'!J10</f>
        <v>39924</v>
      </c>
      <c r="M16" s="135">
        <f>'GS Pay Scale'!K10</f>
        <v>40974</v>
      </c>
    </row>
    <row r="17" spans="1:13" x14ac:dyDescent="0.2">
      <c r="A17" s="98"/>
      <c r="B17" s="98">
        <v>106</v>
      </c>
      <c r="C17" s="107" t="s">
        <v>38</v>
      </c>
      <c r="D17" s="102">
        <f t="shared" ref="D17:M17" si="7">D18*106</f>
        <v>1212.6399999999999</v>
      </c>
      <c r="E17" s="102">
        <f t="shared" si="7"/>
        <v>1252.92</v>
      </c>
      <c r="F17" s="102">
        <f t="shared" si="7"/>
        <v>1293.1999999999998</v>
      </c>
      <c r="G17" s="102">
        <f t="shared" si="7"/>
        <v>1333.48</v>
      </c>
      <c r="H17" s="102">
        <f t="shared" si="7"/>
        <v>1373.76</v>
      </c>
      <c r="I17" s="102">
        <f t="shared" si="7"/>
        <v>1414.04</v>
      </c>
      <c r="J17" s="102">
        <f t="shared" si="7"/>
        <v>1454.3200000000002</v>
      </c>
      <c r="K17" s="102">
        <f t="shared" si="7"/>
        <v>1494.6</v>
      </c>
      <c r="L17" s="102">
        <f t="shared" si="7"/>
        <v>1535.94</v>
      </c>
      <c r="M17" s="102">
        <f t="shared" si="7"/>
        <v>1576.22</v>
      </c>
    </row>
    <row r="18" spans="1:13" x14ac:dyDescent="0.2">
      <c r="A18" s="98"/>
      <c r="B18" s="98"/>
      <c r="C18" s="107" t="s">
        <v>13</v>
      </c>
      <c r="D18" s="102">
        <f>ROUND(D16/2756,2)</f>
        <v>11.44</v>
      </c>
      <c r="E18" s="102">
        <f t="shared" ref="E18:M18" si="8">ROUND(E16/2756,2)</f>
        <v>11.82</v>
      </c>
      <c r="F18" s="102">
        <f t="shared" si="8"/>
        <v>12.2</v>
      </c>
      <c r="G18" s="102">
        <f t="shared" si="8"/>
        <v>12.58</v>
      </c>
      <c r="H18" s="102">
        <f t="shared" si="8"/>
        <v>12.96</v>
      </c>
      <c r="I18" s="102">
        <f t="shared" si="8"/>
        <v>13.34</v>
      </c>
      <c r="J18" s="102">
        <f t="shared" si="8"/>
        <v>13.72</v>
      </c>
      <c r="K18" s="102">
        <f t="shared" si="8"/>
        <v>14.1</v>
      </c>
      <c r="L18" s="102">
        <f t="shared" si="8"/>
        <v>14.49</v>
      </c>
      <c r="M18" s="102">
        <f t="shared" si="8"/>
        <v>14.87</v>
      </c>
    </row>
    <row r="19" spans="1:13" x14ac:dyDescent="0.2">
      <c r="A19" s="101"/>
      <c r="B19" s="106">
        <f>($G$3-53)*2</f>
        <v>38</v>
      </c>
      <c r="C19" s="107" t="s">
        <v>39</v>
      </c>
      <c r="D19" s="102">
        <f t="shared" ref="D19:M19" si="9">D20*$B$10</f>
        <v>652.08000000000004</v>
      </c>
      <c r="E19" s="102">
        <f t="shared" si="9"/>
        <v>673.74</v>
      </c>
      <c r="F19" s="102">
        <f t="shared" si="9"/>
        <v>695.4</v>
      </c>
      <c r="G19" s="102">
        <f t="shared" si="9"/>
        <v>717.06000000000006</v>
      </c>
      <c r="H19" s="102">
        <f t="shared" si="9"/>
        <v>738.72</v>
      </c>
      <c r="I19" s="102">
        <f t="shared" si="9"/>
        <v>760.38000000000011</v>
      </c>
      <c r="J19" s="102">
        <f t="shared" si="9"/>
        <v>782.04</v>
      </c>
      <c r="K19" s="102">
        <f t="shared" si="9"/>
        <v>803.69999999999993</v>
      </c>
      <c r="L19" s="102">
        <f t="shared" si="9"/>
        <v>826.11999999999989</v>
      </c>
      <c r="M19" s="102">
        <f t="shared" si="9"/>
        <v>847.78</v>
      </c>
    </row>
    <row r="20" spans="1:13" x14ac:dyDescent="0.2">
      <c r="A20" s="98" t="s">
        <v>23</v>
      </c>
      <c r="B20" s="98"/>
      <c r="C20" s="107" t="s">
        <v>14</v>
      </c>
      <c r="D20" s="102">
        <f>IF(ROUND(D18*1.5,2)&lt;$G$122,ROUND(D18*1.5,2),IF($G$122&lt;D18,D18,$G$122))</f>
        <v>17.16</v>
      </c>
      <c r="E20" s="102">
        <f t="shared" ref="E20:M20" si="10">IF(ROUND(E18*1.5,2)&lt;$G$122,ROUND(E18*1.5,2),IF($G$122&lt;E18,E18,$G$122))</f>
        <v>17.73</v>
      </c>
      <c r="F20" s="102">
        <f t="shared" si="10"/>
        <v>18.3</v>
      </c>
      <c r="G20" s="102">
        <f t="shared" si="10"/>
        <v>18.87</v>
      </c>
      <c r="H20" s="102">
        <f t="shared" si="10"/>
        <v>19.440000000000001</v>
      </c>
      <c r="I20" s="102">
        <f t="shared" si="10"/>
        <v>20.010000000000002</v>
      </c>
      <c r="J20" s="102">
        <f t="shared" si="10"/>
        <v>20.58</v>
      </c>
      <c r="K20" s="102">
        <f t="shared" si="10"/>
        <v>21.15</v>
      </c>
      <c r="L20" s="102">
        <f t="shared" si="10"/>
        <v>21.74</v>
      </c>
      <c r="M20" s="102">
        <f t="shared" si="10"/>
        <v>22.31</v>
      </c>
    </row>
    <row r="21" spans="1:13" s="84" customFormat="1" x14ac:dyDescent="0.2">
      <c r="A21" s="108"/>
      <c r="B21" s="108"/>
      <c r="C21" s="103" t="s">
        <v>43</v>
      </c>
      <c r="D21" s="102">
        <f>ROUND(D18*'Start Page'!$G$46,2)*$B$13</f>
        <v>0</v>
      </c>
      <c r="E21" s="102">
        <f>ROUND(E18*'Start Page'!$G$46,2)*$B$13</f>
        <v>0</v>
      </c>
      <c r="F21" s="102">
        <f>ROUND(F18*'Start Page'!$G$46,2)*$B$13</f>
        <v>0</v>
      </c>
      <c r="G21" s="102">
        <f>ROUND(G18*'Start Page'!$G$46,2)*$B$13</f>
        <v>0</v>
      </c>
      <c r="H21" s="102">
        <f>ROUND(H18*'Start Page'!$G$46,2)*$B$13</f>
        <v>0</v>
      </c>
      <c r="I21" s="102">
        <f>ROUND(I18*'Start Page'!$G$46,2)*$B$13</f>
        <v>0</v>
      </c>
      <c r="J21" s="102">
        <f>ROUND(J18*'Start Page'!$G$46,2)*$B$13</f>
        <v>0</v>
      </c>
      <c r="K21" s="102">
        <f>ROUND(K18*'Start Page'!$G$46,2)*$B$13</f>
        <v>0</v>
      </c>
      <c r="L21" s="102">
        <f>ROUND(L18*'Start Page'!$G$46,2)*$B$13</f>
        <v>0</v>
      </c>
      <c r="M21" s="102">
        <f>ROUND(M18*'Start Page'!$G$46,2)*$B$13</f>
        <v>0</v>
      </c>
    </row>
    <row r="22" spans="1:13" x14ac:dyDescent="0.2">
      <c r="A22" s="98"/>
      <c r="B22" s="98">
        <f>B17+B19</f>
        <v>144</v>
      </c>
      <c r="C22" s="115" t="s">
        <v>17</v>
      </c>
      <c r="D22" s="111">
        <f t="shared" ref="D22:M22" si="11">D17+D19+D21</f>
        <v>1864.7199999999998</v>
      </c>
      <c r="E22" s="111">
        <f t="shared" si="11"/>
        <v>1926.66</v>
      </c>
      <c r="F22" s="111">
        <f t="shared" si="11"/>
        <v>1988.6</v>
      </c>
      <c r="G22" s="111">
        <f t="shared" si="11"/>
        <v>2050.54</v>
      </c>
      <c r="H22" s="111">
        <f t="shared" si="11"/>
        <v>2112.48</v>
      </c>
      <c r="I22" s="111">
        <f t="shared" si="11"/>
        <v>2174.42</v>
      </c>
      <c r="J22" s="111">
        <f t="shared" si="11"/>
        <v>2236.36</v>
      </c>
      <c r="K22" s="111">
        <f t="shared" si="11"/>
        <v>2298.2999999999997</v>
      </c>
      <c r="L22" s="111">
        <f t="shared" si="11"/>
        <v>2362.06</v>
      </c>
      <c r="M22" s="111">
        <f t="shared" si="11"/>
        <v>2424</v>
      </c>
    </row>
    <row r="23" spans="1:13" x14ac:dyDescent="0.2">
      <c r="A23" s="98"/>
      <c r="B23" s="98"/>
      <c r="C23" s="115" t="s">
        <v>33</v>
      </c>
      <c r="D23" s="111">
        <f>D22*26</f>
        <v>48482.719999999994</v>
      </c>
      <c r="E23" s="111">
        <f t="shared" ref="E23" si="12">E22*26</f>
        <v>50093.16</v>
      </c>
      <c r="F23" s="111">
        <f t="shared" ref="F23" si="13">F22*26</f>
        <v>51703.6</v>
      </c>
      <c r="G23" s="111">
        <f t="shared" ref="G23" si="14">G22*26</f>
        <v>53314.04</v>
      </c>
      <c r="H23" s="111">
        <f t="shared" ref="H23" si="15">H22*26</f>
        <v>54924.480000000003</v>
      </c>
      <c r="I23" s="111">
        <f t="shared" ref="I23" si="16">I22*26</f>
        <v>56534.92</v>
      </c>
      <c r="J23" s="111">
        <f t="shared" ref="J23" si="17">J22*26</f>
        <v>58145.36</v>
      </c>
      <c r="K23" s="111">
        <f t="shared" ref="K23" si="18">K22*26</f>
        <v>59755.799999999996</v>
      </c>
      <c r="L23" s="111">
        <f t="shared" ref="L23" si="19">L22*26</f>
        <v>61413.56</v>
      </c>
      <c r="M23" s="111">
        <f t="shared" ref="M23" si="20">M22*26</f>
        <v>63024</v>
      </c>
    </row>
    <row r="24" spans="1:13" s="134" customFormat="1" x14ac:dyDescent="0.2">
      <c r="A24" s="112"/>
      <c r="B24" s="112"/>
      <c r="C24" s="113" t="s">
        <v>66</v>
      </c>
      <c r="D24" s="136">
        <f>D18*$B$13*26</f>
        <v>42831.360000000001</v>
      </c>
      <c r="E24" s="136">
        <f t="shared" ref="E24:M24" si="21">E18*$B$13*26</f>
        <v>44254.080000000002</v>
      </c>
      <c r="F24" s="136">
        <f t="shared" si="21"/>
        <v>45676.799999999996</v>
      </c>
      <c r="G24" s="136">
        <f t="shared" si="21"/>
        <v>47099.519999999997</v>
      </c>
      <c r="H24" s="136">
        <f t="shared" si="21"/>
        <v>48522.240000000005</v>
      </c>
      <c r="I24" s="136">
        <f t="shared" si="21"/>
        <v>49944.959999999999</v>
      </c>
      <c r="J24" s="136">
        <f t="shared" si="21"/>
        <v>51367.68</v>
      </c>
      <c r="K24" s="136">
        <f t="shared" si="21"/>
        <v>52790.399999999994</v>
      </c>
      <c r="L24" s="136">
        <f t="shared" si="21"/>
        <v>54250.559999999998</v>
      </c>
      <c r="M24" s="114">
        <f t="shared" si="21"/>
        <v>55673.279999999992</v>
      </c>
    </row>
    <row r="25" spans="1:13" x14ac:dyDescent="0.2">
      <c r="A25" s="97"/>
      <c r="B25" s="98"/>
      <c r="C25" s="128" t="s">
        <v>30</v>
      </c>
      <c r="D25" s="135">
        <f>'GS Pay Scale'!B11</f>
        <v>35265</v>
      </c>
      <c r="E25" s="135">
        <f>'GS Pay Scale'!C11</f>
        <v>36441</v>
      </c>
      <c r="F25" s="135">
        <f>'GS Pay Scale'!D11</f>
        <v>37616</v>
      </c>
      <c r="G25" s="135">
        <f>'GS Pay Scale'!E11</f>
        <v>38792</v>
      </c>
      <c r="H25" s="135">
        <f>'GS Pay Scale'!F11</f>
        <v>39968</v>
      </c>
      <c r="I25" s="135">
        <f>'GS Pay Scale'!G11</f>
        <v>41144</v>
      </c>
      <c r="J25" s="135">
        <f>'GS Pay Scale'!H11</f>
        <v>42319</v>
      </c>
      <c r="K25" s="135">
        <f>'GS Pay Scale'!I11</f>
        <v>43495</v>
      </c>
      <c r="L25" s="135">
        <f>'GS Pay Scale'!J11</f>
        <v>44671</v>
      </c>
      <c r="M25" s="135">
        <f>'GS Pay Scale'!K11</f>
        <v>45847</v>
      </c>
    </row>
    <row r="26" spans="1:13" x14ac:dyDescent="0.2">
      <c r="A26" s="98"/>
      <c r="B26" s="98">
        <v>106</v>
      </c>
      <c r="C26" s="107" t="s">
        <v>38</v>
      </c>
      <c r="D26" s="102">
        <f t="shared" ref="D26:M26" si="22">D27*106</f>
        <v>1356.8000000000002</v>
      </c>
      <c r="E26" s="102">
        <f t="shared" si="22"/>
        <v>1401.3200000000002</v>
      </c>
      <c r="F26" s="102">
        <f t="shared" si="22"/>
        <v>1446.9</v>
      </c>
      <c r="G26" s="102">
        <f t="shared" si="22"/>
        <v>1492.48</v>
      </c>
      <c r="H26" s="102">
        <f t="shared" si="22"/>
        <v>1537</v>
      </c>
      <c r="I26" s="102">
        <f t="shared" si="22"/>
        <v>1582.58</v>
      </c>
      <c r="J26" s="102">
        <f t="shared" si="22"/>
        <v>1628.1599999999999</v>
      </c>
      <c r="K26" s="102">
        <f t="shared" si="22"/>
        <v>1672.6799999999998</v>
      </c>
      <c r="L26" s="102">
        <f t="shared" si="22"/>
        <v>1718.26</v>
      </c>
      <c r="M26" s="102">
        <f t="shared" si="22"/>
        <v>1763.8400000000001</v>
      </c>
    </row>
    <row r="27" spans="1:13" x14ac:dyDescent="0.2">
      <c r="A27" s="98"/>
      <c r="B27" s="98"/>
      <c r="C27" s="107" t="s">
        <v>13</v>
      </c>
      <c r="D27" s="102">
        <f>ROUND(D25/2756,2)</f>
        <v>12.8</v>
      </c>
      <c r="E27" s="102">
        <f t="shared" ref="E27:M27" si="23">ROUND(E25/2756,2)</f>
        <v>13.22</v>
      </c>
      <c r="F27" s="102">
        <f t="shared" si="23"/>
        <v>13.65</v>
      </c>
      <c r="G27" s="102">
        <f t="shared" si="23"/>
        <v>14.08</v>
      </c>
      <c r="H27" s="102">
        <f t="shared" si="23"/>
        <v>14.5</v>
      </c>
      <c r="I27" s="102">
        <f t="shared" si="23"/>
        <v>14.93</v>
      </c>
      <c r="J27" s="102">
        <f t="shared" si="23"/>
        <v>15.36</v>
      </c>
      <c r="K27" s="102">
        <f t="shared" si="23"/>
        <v>15.78</v>
      </c>
      <c r="L27" s="102">
        <f t="shared" si="23"/>
        <v>16.21</v>
      </c>
      <c r="M27" s="102">
        <f t="shared" si="23"/>
        <v>16.64</v>
      </c>
    </row>
    <row r="28" spans="1:13" x14ac:dyDescent="0.2">
      <c r="A28" s="101"/>
      <c r="B28" s="106">
        <f>($G$3-53)*2</f>
        <v>38</v>
      </c>
      <c r="C28" s="107" t="s">
        <v>39</v>
      </c>
      <c r="D28" s="102">
        <f t="shared" ref="D28:M28" si="24">D29*$B$10</f>
        <v>729.6</v>
      </c>
      <c r="E28" s="102">
        <f t="shared" si="24"/>
        <v>753.54</v>
      </c>
      <c r="F28" s="102">
        <f t="shared" si="24"/>
        <v>778.24</v>
      </c>
      <c r="G28" s="102">
        <f t="shared" si="24"/>
        <v>802.56000000000006</v>
      </c>
      <c r="H28" s="102">
        <f t="shared" si="24"/>
        <v>826.5</v>
      </c>
      <c r="I28" s="102">
        <f t="shared" si="24"/>
        <v>851.19999999999993</v>
      </c>
      <c r="J28" s="102">
        <f t="shared" si="24"/>
        <v>875.52</v>
      </c>
      <c r="K28" s="102">
        <f t="shared" si="24"/>
        <v>899.46</v>
      </c>
      <c r="L28" s="102">
        <f t="shared" si="24"/>
        <v>924.16</v>
      </c>
      <c r="M28" s="102">
        <f t="shared" si="24"/>
        <v>948.48</v>
      </c>
    </row>
    <row r="29" spans="1:13" x14ac:dyDescent="0.2">
      <c r="A29" s="98" t="s">
        <v>24</v>
      </c>
      <c r="B29" s="98"/>
      <c r="C29" s="107" t="s">
        <v>14</v>
      </c>
      <c r="D29" s="102">
        <f>IF(ROUND(D27*1.5,2)&lt;$G$122,ROUND(D27*1.5,2),IF($G$122&lt;D27,D27,$G$122))</f>
        <v>19.2</v>
      </c>
      <c r="E29" s="102">
        <f t="shared" ref="E29:M29" si="25">IF(ROUND(E27*1.5,2)&lt;$G$122,ROUND(E27*1.5,2),IF($G$122&lt;E27,E27,$G$122))</f>
        <v>19.829999999999998</v>
      </c>
      <c r="F29" s="102">
        <f t="shared" si="25"/>
        <v>20.48</v>
      </c>
      <c r="G29" s="102">
        <f t="shared" si="25"/>
        <v>21.12</v>
      </c>
      <c r="H29" s="102">
        <f t="shared" si="25"/>
        <v>21.75</v>
      </c>
      <c r="I29" s="102">
        <f t="shared" si="25"/>
        <v>22.4</v>
      </c>
      <c r="J29" s="102">
        <f t="shared" si="25"/>
        <v>23.04</v>
      </c>
      <c r="K29" s="102">
        <f t="shared" si="25"/>
        <v>23.67</v>
      </c>
      <c r="L29" s="102">
        <f t="shared" si="25"/>
        <v>24.32</v>
      </c>
      <c r="M29" s="102">
        <f t="shared" si="25"/>
        <v>24.96</v>
      </c>
    </row>
    <row r="30" spans="1:13" s="84" customFormat="1" x14ac:dyDescent="0.2">
      <c r="A30" s="108"/>
      <c r="B30" s="108"/>
      <c r="C30" s="103" t="s">
        <v>43</v>
      </c>
      <c r="D30" s="102">
        <f>ROUND(D27*'Start Page'!$G$46,2)*$B$13</f>
        <v>0</v>
      </c>
      <c r="E30" s="102">
        <f>ROUND(E27*'Start Page'!$G$46,2)*$B$13</f>
        <v>0</v>
      </c>
      <c r="F30" s="102">
        <f>ROUND(F27*'Start Page'!$G$46,2)*$B$13</f>
        <v>0</v>
      </c>
      <c r="G30" s="102">
        <f>ROUND(G27*'Start Page'!$G$46,2)*$B$13</f>
        <v>0</v>
      </c>
      <c r="H30" s="102">
        <f>ROUND(H27*'Start Page'!$G$46,2)*$B$13</f>
        <v>0</v>
      </c>
      <c r="I30" s="102">
        <f>ROUND(I27*'Start Page'!$G$46,2)*$B$13</f>
        <v>0</v>
      </c>
      <c r="J30" s="102">
        <f>ROUND(J27*'Start Page'!$G$46,2)*$B$13</f>
        <v>0</v>
      </c>
      <c r="K30" s="102">
        <f>ROUND(K27*'Start Page'!$G$46,2)*$B$13</f>
        <v>0</v>
      </c>
      <c r="L30" s="102">
        <f>ROUND(L27*'Start Page'!$G$46,2)*$B$13</f>
        <v>0</v>
      </c>
      <c r="M30" s="102">
        <f>ROUND(M27*'Start Page'!$G$46,2)*$B$13</f>
        <v>0</v>
      </c>
    </row>
    <row r="31" spans="1:13" x14ac:dyDescent="0.2">
      <c r="A31" s="98"/>
      <c r="B31" s="98">
        <f>B26+B28</f>
        <v>144</v>
      </c>
      <c r="C31" s="115" t="s">
        <v>17</v>
      </c>
      <c r="D31" s="111">
        <f t="shared" ref="D31:M31" si="26">D26+D28+D30</f>
        <v>2086.4</v>
      </c>
      <c r="E31" s="111">
        <f t="shared" si="26"/>
        <v>2154.86</v>
      </c>
      <c r="F31" s="111">
        <f t="shared" si="26"/>
        <v>2225.1400000000003</v>
      </c>
      <c r="G31" s="111">
        <f t="shared" si="26"/>
        <v>2295.04</v>
      </c>
      <c r="H31" s="111">
        <f t="shared" si="26"/>
        <v>2363.5</v>
      </c>
      <c r="I31" s="111">
        <f t="shared" si="26"/>
        <v>2433.7799999999997</v>
      </c>
      <c r="J31" s="111">
        <f t="shared" si="26"/>
        <v>2503.6799999999998</v>
      </c>
      <c r="K31" s="111">
        <f t="shared" si="26"/>
        <v>2572.14</v>
      </c>
      <c r="L31" s="111">
        <f t="shared" si="26"/>
        <v>2642.42</v>
      </c>
      <c r="M31" s="111">
        <f t="shared" si="26"/>
        <v>2712.32</v>
      </c>
    </row>
    <row r="32" spans="1:13" x14ac:dyDescent="0.2">
      <c r="A32" s="98"/>
      <c r="B32" s="98"/>
      <c r="C32" s="115" t="s">
        <v>33</v>
      </c>
      <c r="D32" s="111">
        <f>D31*26</f>
        <v>54246.400000000001</v>
      </c>
      <c r="E32" s="111">
        <f t="shared" ref="E32" si="27">E31*26</f>
        <v>56026.36</v>
      </c>
      <c r="F32" s="111">
        <f t="shared" ref="F32" si="28">F31*26</f>
        <v>57853.640000000007</v>
      </c>
      <c r="G32" s="111">
        <f t="shared" ref="G32" si="29">G31*26</f>
        <v>59671.040000000001</v>
      </c>
      <c r="H32" s="111">
        <f t="shared" ref="H32" si="30">H31*26</f>
        <v>61451</v>
      </c>
      <c r="I32" s="111">
        <f t="shared" ref="I32" si="31">I31*26</f>
        <v>63278.279999999992</v>
      </c>
      <c r="J32" s="111">
        <f t="shared" ref="J32" si="32">J31*26</f>
        <v>65095.679999999993</v>
      </c>
      <c r="K32" s="111">
        <f t="shared" ref="K32" si="33">K31*26</f>
        <v>66875.64</v>
      </c>
      <c r="L32" s="111">
        <f t="shared" ref="L32" si="34">L31*26</f>
        <v>68702.92</v>
      </c>
      <c r="M32" s="111">
        <f t="shared" ref="M32" si="35">M31*26</f>
        <v>70520.320000000007</v>
      </c>
    </row>
    <row r="33" spans="1:13" s="134" customFormat="1" x14ac:dyDescent="0.2">
      <c r="A33" s="112"/>
      <c r="B33" s="112"/>
      <c r="C33" s="113" t="s">
        <v>66</v>
      </c>
      <c r="D33" s="136">
        <f>D27*$B$13*26</f>
        <v>47923.200000000004</v>
      </c>
      <c r="E33" s="136">
        <f t="shared" ref="E33:M33" si="36">E27*$B$13*26</f>
        <v>49495.68</v>
      </c>
      <c r="F33" s="136">
        <f t="shared" si="36"/>
        <v>51105.600000000006</v>
      </c>
      <c r="G33" s="136">
        <f t="shared" si="36"/>
        <v>52715.519999999997</v>
      </c>
      <c r="H33" s="136">
        <f t="shared" si="36"/>
        <v>54288</v>
      </c>
      <c r="I33" s="136">
        <f t="shared" si="36"/>
        <v>55897.919999999998</v>
      </c>
      <c r="J33" s="136">
        <f t="shared" si="36"/>
        <v>57507.840000000004</v>
      </c>
      <c r="K33" s="136">
        <f t="shared" si="36"/>
        <v>59080.319999999992</v>
      </c>
      <c r="L33" s="136">
        <f t="shared" si="36"/>
        <v>60690.240000000005</v>
      </c>
      <c r="M33" s="114">
        <f t="shared" si="36"/>
        <v>62300.159999999996</v>
      </c>
    </row>
    <row r="34" spans="1:13" x14ac:dyDescent="0.2">
      <c r="A34" s="97"/>
      <c r="B34" s="98"/>
      <c r="C34" s="128" t="s">
        <v>30</v>
      </c>
      <c r="D34" s="135">
        <f>'GS Pay Scale'!B12</f>
        <v>39311</v>
      </c>
      <c r="E34" s="135">
        <f>'GS Pay Scale'!C12</f>
        <v>40621</v>
      </c>
      <c r="F34" s="135">
        <f>'GS Pay Scale'!D12</f>
        <v>41931</v>
      </c>
      <c r="G34" s="135">
        <f>'GS Pay Scale'!E12</f>
        <v>43241</v>
      </c>
      <c r="H34" s="135">
        <f>'GS Pay Scale'!F12</f>
        <v>44551</v>
      </c>
      <c r="I34" s="135">
        <f>'GS Pay Scale'!G12</f>
        <v>45862</v>
      </c>
      <c r="J34" s="135">
        <f>'GS Pay Scale'!H12</f>
        <v>47172</v>
      </c>
      <c r="K34" s="135">
        <f>'GS Pay Scale'!I12</f>
        <v>48482</v>
      </c>
      <c r="L34" s="135">
        <f>'GS Pay Scale'!J12</f>
        <v>49792</v>
      </c>
      <c r="M34" s="135">
        <f>'GS Pay Scale'!K12</f>
        <v>51103</v>
      </c>
    </row>
    <row r="35" spans="1:13" x14ac:dyDescent="0.2">
      <c r="A35" s="98"/>
      <c r="B35" s="98">
        <v>106</v>
      </c>
      <c r="C35" s="107" t="s">
        <v>38</v>
      </c>
      <c r="D35" s="102">
        <f t="shared" ref="D35:M35" si="37">D36*106</f>
        <v>1511.56</v>
      </c>
      <c r="E35" s="102">
        <f t="shared" si="37"/>
        <v>1562.44</v>
      </c>
      <c r="F35" s="102">
        <f t="shared" si="37"/>
        <v>1612.26</v>
      </c>
      <c r="G35" s="102">
        <f t="shared" si="37"/>
        <v>1663.1399999999999</v>
      </c>
      <c r="H35" s="102">
        <f t="shared" si="37"/>
        <v>1714.0200000000002</v>
      </c>
      <c r="I35" s="102">
        <f t="shared" si="37"/>
        <v>1763.8400000000001</v>
      </c>
      <c r="J35" s="102">
        <f t="shared" si="37"/>
        <v>1814.72</v>
      </c>
      <c r="K35" s="102">
        <f t="shared" si="37"/>
        <v>1864.54</v>
      </c>
      <c r="L35" s="102">
        <f t="shared" si="37"/>
        <v>1915.42</v>
      </c>
      <c r="M35" s="102">
        <f t="shared" si="37"/>
        <v>1965.24</v>
      </c>
    </row>
    <row r="36" spans="1:13" x14ac:dyDescent="0.2">
      <c r="A36" s="98"/>
      <c r="B36" s="98"/>
      <c r="C36" s="107" t="s">
        <v>13</v>
      </c>
      <c r="D36" s="102">
        <f>ROUND(D34/2756,2)</f>
        <v>14.26</v>
      </c>
      <c r="E36" s="102">
        <f t="shared" ref="E36:M36" si="38">ROUND(E34/2756,2)</f>
        <v>14.74</v>
      </c>
      <c r="F36" s="102">
        <f t="shared" si="38"/>
        <v>15.21</v>
      </c>
      <c r="G36" s="102">
        <f t="shared" si="38"/>
        <v>15.69</v>
      </c>
      <c r="H36" s="102">
        <f t="shared" si="38"/>
        <v>16.170000000000002</v>
      </c>
      <c r="I36" s="102">
        <f t="shared" si="38"/>
        <v>16.64</v>
      </c>
      <c r="J36" s="102">
        <f t="shared" si="38"/>
        <v>17.12</v>
      </c>
      <c r="K36" s="102">
        <f t="shared" si="38"/>
        <v>17.59</v>
      </c>
      <c r="L36" s="102">
        <f t="shared" si="38"/>
        <v>18.07</v>
      </c>
      <c r="M36" s="102">
        <f t="shared" si="38"/>
        <v>18.54</v>
      </c>
    </row>
    <row r="37" spans="1:13" x14ac:dyDescent="0.2">
      <c r="A37" s="101"/>
      <c r="B37" s="106">
        <f>($G$3-53)*2</f>
        <v>38</v>
      </c>
      <c r="C37" s="107" t="s">
        <v>39</v>
      </c>
      <c r="D37" s="102">
        <f t="shared" ref="D37:M37" si="39">D38*$B$10</f>
        <v>812.82</v>
      </c>
      <c r="E37" s="102">
        <f t="shared" si="39"/>
        <v>840.18</v>
      </c>
      <c r="F37" s="102">
        <f t="shared" si="39"/>
        <v>867.16</v>
      </c>
      <c r="G37" s="102">
        <f t="shared" si="39"/>
        <v>894.52</v>
      </c>
      <c r="H37" s="102">
        <f t="shared" si="39"/>
        <v>921.88000000000011</v>
      </c>
      <c r="I37" s="102">
        <f t="shared" si="39"/>
        <v>948.48</v>
      </c>
      <c r="J37" s="102">
        <f t="shared" si="39"/>
        <v>975.84</v>
      </c>
      <c r="K37" s="102">
        <f t="shared" si="39"/>
        <v>1002.82</v>
      </c>
      <c r="L37" s="102">
        <f t="shared" si="39"/>
        <v>1030.18</v>
      </c>
      <c r="M37" s="102">
        <f t="shared" si="39"/>
        <v>1056.78</v>
      </c>
    </row>
    <row r="38" spans="1:13" x14ac:dyDescent="0.2">
      <c r="A38" s="98" t="s">
        <v>18</v>
      </c>
      <c r="B38" s="98"/>
      <c r="C38" s="107" t="s">
        <v>14</v>
      </c>
      <c r="D38" s="102">
        <f>IF(ROUND(D36*1.5,2)&lt;$G$122,ROUND(D36*1.5,2),IF($G$122&lt;D36,D36,$G$122))</f>
        <v>21.39</v>
      </c>
      <c r="E38" s="102">
        <f t="shared" ref="E38:M38" si="40">IF(ROUND(E36*1.5,2)&lt;$G$122,ROUND(E36*1.5,2),IF($G$122&lt;E36,E36,$G$122))</f>
        <v>22.11</v>
      </c>
      <c r="F38" s="102">
        <f t="shared" si="40"/>
        <v>22.82</v>
      </c>
      <c r="G38" s="102">
        <f t="shared" si="40"/>
        <v>23.54</v>
      </c>
      <c r="H38" s="102">
        <f t="shared" si="40"/>
        <v>24.26</v>
      </c>
      <c r="I38" s="102">
        <f t="shared" si="40"/>
        <v>24.96</v>
      </c>
      <c r="J38" s="102">
        <f t="shared" si="40"/>
        <v>25.68</v>
      </c>
      <c r="K38" s="102">
        <f t="shared" si="40"/>
        <v>26.39</v>
      </c>
      <c r="L38" s="102">
        <f t="shared" si="40"/>
        <v>27.11</v>
      </c>
      <c r="M38" s="102">
        <f t="shared" si="40"/>
        <v>27.81</v>
      </c>
    </row>
    <row r="39" spans="1:13" s="84" customFormat="1" x14ac:dyDescent="0.2">
      <c r="A39" s="108"/>
      <c r="B39" s="108"/>
      <c r="C39" s="103" t="s">
        <v>43</v>
      </c>
      <c r="D39" s="102">
        <f>ROUND(D36*'Start Page'!$G$46,2)*$B$13</f>
        <v>0</v>
      </c>
      <c r="E39" s="102">
        <f>ROUND(E36*'Start Page'!$G$46,2)*$B$13</f>
        <v>0</v>
      </c>
      <c r="F39" s="102">
        <f>ROUND(F36*'Start Page'!$G$46,2)*$B$13</f>
        <v>0</v>
      </c>
      <c r="G39" s="102">
        <f>ROUND(G36*'Start Page'!$G$46,2)*$B$13</f>
        <v>0</v>
      </c>
      <c r="H39" s="102">
        <f>ROUND(H36*'Start Page'!$G$46,2)*$B$13</f>
        <v>0</v>
      </c>
      <c r="I39" s="102">
        <f>ROUND(I36*'Start Page'!$G$46,2)*$B$13</f>
        <v>0</v>
      </c>
      <c r="J39" s="102">
        <f>ROUND(J36*'Start Page'!$G$46,2)*$B$13</f>
        <v>0</v>
      </c>
      <c r="K39" s="102">
        <f>ROUND(K36*'Start Page'!$G$46,2)*$B$13</f>
        <v>0</v>
      </c>
      <c r="L39" s="102">
        <f>ROUND(L36*'Start Page'!$G$46,2)*$B$13</f>
        <v>0</v>
      </c>
      <c r="M39" s="102">
        <f>ROUND(M36*'Start Page'!$G$46,2)*$B$13</f>
        <v>0</v>
      </c>
    </row>
    <row r="40" spans="1:13" x14ac:dyDescent="0.2">
      <c r="A40" s="98"/>
      <c r="B40" s="98">
        <f>B35+B37</f>
        <v>144</v>
      </c>
      <c r="C40" s="115" t="s">
        <v>17</v>
      </c>
      <c r="D40" s="111">
        <f t="shared" ref="D40:M40" si="41">D35+D37+D39</f>
        <v>2324.38</v>
      </c>
      <c r="E40" s="111">
        <f t="shared" si="41"/>
        <v>2402.62</v>
      </c>
      <c r="F40" s="111">
        <f t="shared" si="41"/>
        <v>2479.42</v>
      </c>
      <c r="G40" s="111">
        <f t="shared" si="41"/>
        <v>2557.66</v>
      </c>
      <c r="H40" s="111">
        <f t="shared" si="41"/>
        <v>2635.9000000000005</v>
      </c>
      <c r="I40" s="111">
        <f t="shared" si="41"/>
        <v>2712.32</v>
      </c>
      <c r="J40" s="111">
        <f t="shared" si="41"/>
        <v>2790.56</v>
      </c>
      <c r="K40" s="111">
        <f t="shared" si="41"/>
        <v>2867.36</v>
      </c>
      <c r="L40" s="111">
        <f t="shared" si="41"/>
        <v>2945.6000000000004</v>
      </c>
      <c r="M40" s="111">
        <f t="shared" si="41"/>
        <v>3022.02</v>
      </c>
    </row>
    <row r="41" spans="1:13" x14ac:dyDescent="0.2">
      <c r="A41" s="98"/>
      <c r="B41" s="98"/>
      <c r="C41" s="115" t="s">
        <v>33</v>
      </c>
      <c r="D41" s="111">
        <f>D40*26</f>
        <v>60433.880000000005</v>
      </c>
      <c r="E41" s="111">
        <f t="shared" ref="E41" si="42">E40*26</f>
        <v>62468.119999999995</v>
      </c>
      <c r="F41" s="111">
        <f t="shared" ref="F41" si="43">F40*26</f>
        <v>64464.92</v>
      </c>
      <c r="G41" s="111">
        <f t="shared" ref="G41" si="44">G40*26</f>
        <v>66499.16</v>
      </c>
      <c r="H41" s="111">
        <f t="shared" ref="H41" si="45">H40*26</f>
        <v>68533.400000000009</v>
      </c>
      <c r="I41" s="111">
        <f t="shared" ref="I41" si="46">I40*26</f>
        <v>70520.320000000007</v>
      </c>
      <c r="J41" s="111">
        <f t="shared" ref="J41" si="47">J40*26</f>
        <v>72554.559999999998</v>
      </c>
      <c r="K41" s="111">
        <f t="shared" ref="K41" si="48">K40*26</f>
        <v>74551.360000000001</v>
      </c>
      <c r="L41" s="111">
        <f t="shared" ref="L41" si="49">L40*26</f>
        <v>76585.600000000006</v>
      </c>
      <c r="M41" s="111">
        <f t="shared" ref="M41" si="50">M40*26</f>
        <v>78572.52</v>
      </c>
    </row>
    <row r="42" spans="1:13" s="134" customFormat="1" x14ac:dyDescent="0.2">
      <c r="A42" s="112"/>
      <c r="B42" s="112"/>
      <c r="C42" s="113" t="s">
        <v>66</v>
      </c>
      <c r="D42" s="136">
        <f>D36*$B$13*26</f>
        <v>53389.440000000002</v>
      </c>
      <c r="E42" s="136">
        <f t="shared" ref="E42:M42" si="51">E36*$B$13*26</f>
        <v>55186.559999999998</v>
      </c>
      <c r="F42" s="136">
        <f t="shared" si="51"/>
        <v>56946.240000000005</v>
      </c>
      <c r="G42" s="136">
        <f t="shared" si="51"/>
        <v>58743.360000000001</v>
      </c>
      <c r="H42" s="136">
        <f t="shared" si="51"/>
        <v>60540.48000000001</v>
      </c>
      <c r="I42" s="136">
        <f t="shared" si="51"/>
        <v>62300.159999999996</v>
      </c>
      <c r="J42" s="136">
        <f t="shared" si="51"/>
        <v>64097.280000000006</v>
      </c>
      <c r="K42" s="136">
        <f t="shared" si="51"/>
        <v>65856.960000000006</v>
      </c>
      <c r="L42" s="136">
        <f t="shared" si="51"/>
        <v>67654.080000000002</v>
      </c>
      <c r="M42" s="114">
        <f t="shared" si="51"/>
        <v>69413.759999999995</v>
      </c>
    </row>
    <row r="43" spans="1:13" x14ac:dyDescent="0.2">
      <c r="A43" s="98"/>
      <c r="B43" s="98"/>
      <c r="C43" s="128" t="s">
        <v>30</v>
      </c>
      <c r="D43" s="135">
        <f>'GS Pay Scale'!B13</f>
        <v>43683</v>
      </c>
      <c r="E43" s="135">
        <f>'GS Pay Scale'!C13</f>
        <v>45139</v>
      </c>
      <c r="F43" s="135">
        <f>'GS Pay Scale'!D13</f>
        <v>46596</v>
      </c>
      <c r="G43" s="135">
        <f>'GS Pay Scale'!E13</f>
        <v>48052</v>
      </c>
      <c r="H43" s="135">
        <f>'GS Pay Scale'!F13</f>
        <v>49508</v>
      </c>
      <c r="I43" s="135">
        <f>'GS Pay Scale'!G13</f>
        <v>50965</v>
      </c>
      <c r="J43" s="135">
        <f>'GS Pay Scale'!H13</f>
        <v>52421</v>
      </c>
      <c r="K43" s="135">
        <f>'GS Pay Scale'!I13</f>
        <v>53877</v>
      </c>
      <c r="L43" s="135">
        <f>'GS Pay Scale'!J13</f>
        <v>55334</v>
      </c>
      <c r="M43" s="135">
        <f>'GS Pay Scale'!K13</f>
        <v>56790</v>
      </c>
    </row>
    <row r="44" spans="1:13" x14ac:dyDescent="0.2">
      <c r="A44" s="98"/>
      <c r="B44" s="98">
        <v>106</v>
      </c>
      <c r="C44" s="107" t="s">
        <v>38</v>
      </c>
      <c r="D44" s="102">
        <f t="shared" ref="D44:M44" si="52">D45*106</f>
        <v>1680.1</v>
      </c>
      <c r="E44" s="102">
        <f t="shared" si="52"/>
        <v>1736.28</v>
      </c>
      <c r="F44" s="102">
        <f t="shared" si="52"/>
        <v>1792.46</v>
      </c>
      <c r="G44" s="102">
        <f t="shared" si="52"/>
        <v>1848.64</v>
      </c>
      <c r="H44" s="102">
        <f t="shared" si="52"/>
        <v>1903.76</v>
      </c>
      <c r="I44" s="102">
        <f t="shared" si="52"/>
        <v>1959.9399999999998</v>
      </c>
      <c r="J44" s="102">
        <f t="shared" si="52"/>
        <v>2016.12</v>
      </c>
      <c r="K44" s="102">
        <f t="shared" si="52"/>
        <v>2072.3000000000002</v>
      </c>
      <c r="L44" s="102">
        <f t="shared" si="52"/>
        <v>2128.48</v>
      </c>
      <c r="M44" s="102">
        <f t="shared" si="52"/>
        <v>2184.66</v>
      </c>
    </row>
    <row r="45" spans="1:13" x14ac:dyDescent="0.2">
      <c r="A45" s="98"/>
      <c r="B45" s="98"/>
      <c r="C45" s="107" t="s">
        <v>13</v>
      </c>
      <c r="D45" s="102">
        <f>ROUND(D43/2756,2)</f>
        <v>15.85</v>
      </c>
      <c r="E45" s="102">
        <f t="shared" ref="E45:M45" si="53">ROUND(E43/2756,2)</f>
        <v>16.38</v>
      </c>
      <c r="F45" s="102">
        <f t="shared" si="53"/>
        <v>16.91</v>
      </c>
      <c r="G45" s="102">
        <f t="shared" si="53"/>
        <v>17.440000000000001</v>
      </c>
      <c r="H45" s="102">
        <f t="shared" si="53"/>
        <v>17.96</v>
      </c>
      <c r="I45" s="102">
        <f t="shared" si="53"/>
        <v>18.489999999999998</v>
      </c>
      <c r="J45" s="102">
        <f t="shared" si="53"/>
        <v>19.02</v>
      </c>
      <c r="K45" s="102">
        <f t="shared" si="53"/>
        <v>19.55</v>
      </c>
      <c r="L45" s="102">
        <f t="shared" si="53"/>
        <v>20.079999999999998</v>
      </c>
      <c r="M45" s="102">
        <f t="shared" si="53"/>
        <v>20.61</v>
      </c>
    </row>
    <row r="46" spans="1:13" x14ac:dyDescent="0.2">
      <c r="A46" s="101"/>
      <c r="B46" s="106">
        <f>($G$3-53)*2</f>
        <v>38</v>
      </c>
      <c r="C46" s="107" t="s">
        <v>39</v>
      </c>
      <c r="D46" s="102">
        <f t="shared" ref="D46:M46" si="54">D47*$B$10</f>
        <v>903.6400000000001</v>
      </c>
      <c r="E46" s="102">
        <f t="shared" si="54"/>
        <v>933.66</v>
      </c>
      <c r="F46" s="102">
        <f t="shared" si="54"/>
        <v>964.06000000000006</v>
      </c>
      <c r="G46" s="102">
        <f t="shared" si="54"/>
        <v>994.08</v>
      </c>
      <c r="H46" s="102">
        <f t="shared" si="54"/>
        <v>1023.72</v>
      </c>
      <c r="I46" s="102">
        <f t="shared" si="54"/>
        <v>1054.1199999999999</v>
      </c>
      <c r="J46" s="102">
        <f t="shared" si="54"/>
        <v>1084.1400000000001</v>
      </c>
      <c r="K46" s="102">
        <f t="shared" si="54"/>
        <v>1114.54</v>
      </c>
      <c r="L46" s="102">
        <f t="shared" si="54"/>
        <v>1144.56</v>
      </c>
      <c r="M46" s="102">
        <f t="shared" si="54"/>
        <v>1174.96</v>
      </c>
    </row>
    <row r="47" spans="1:13" x14ac:dyDescent="0.2">
      <c r="A47" s="98" t="s">
        <v>12</v>
      </c>
      <c r="B47" s="98"/>
      <c r="C47" s="107" t="s">
        <v>14</v>
      </c>
      <c r="D47" s="102">
        <f>IF(ROUND(D45*1.5,2)&lt;$G$122,ROUND(D45*1.5,2),IF($G$122&lt;D45,D45,$G$122))</f>
        <v>23.78</v>
      </c>
      <c r="E47" s="102">
        <f t="shared" ref="E47:M47" si="55">IF(ROUND(E45*1.5,2)&lt;$G$122,ROUND(E45*1.5,2),IF($G$122&lt;E45,E45,$G$122))</f>
        <v>24.57</v>
      </c>
      <c r="F47" s="102">
        <f t="shared" si="55"/>
        <v>25.37</v>
      </c>
      <c r="G47" s="102">
        <f t="shared" si="55"/>
        <v>26.16</v>
      </c>
      <c r="H47" s="102">
        <f t="shared" si="55"/>
        <v>26.94</v>
      </c>
      <c r="I47" s="102">
        <f t="shared" si="55"/>
        <v>27.74</v>
      </c>
      <c r="J47" s="102">
        <f t="shared" si="55"/>
        <v>28.53</v>
      </c>
      <c r="K47" s="102">
        <f t="shared" si="55"/>
        <v>29.33</v>
      </c>
      <c r="L47" s="102">
        <f t="shared" si="55"/>
        <v>30.12</v>
      </c>
      <c r="M47" s="102">
        <f t="shared" si="55"/>
        <v>30.92</v>
      </c>
    </row>
    <row r="48" spans="1:13" s="84" customFormat="1" x14ac:dyDescent="0.2">
      <c r="A48" s="108"/>
      <c r="B48" s="108"/>
      <c r="C48" s="103" t="s">
        <v>43</v>
      </c>
      <c r="D48" s="102">
        <f>ROUND(D45*'Start Page'!$G$46,2)*$B$13</f>
        <v>0</v>
      </c>
      <c r="E48" s="102">
        <f>ROUND(E45*'Start Page'!$G$46,2)*$B$13</f>
        <v>0</v>
      </c>
      <c r="F48" s="102">
        <f>ROUND(F45*'Start Page'!$G$46,2)*$B$13</f>
        <v>0</v>
      </c>
      <c r="G48" s="102">
        <f>ROUND(G45*'Start Page'!$G$46,2)*$B$13</f>
        <v>0</v>
      </c>
      <c r="H48" s="102">
        <f>ROUND(H45*'Start Page'!$G$46,2)*$B$13</f>
        <v>0</v>
      </c>
      <c r="I48" s="102">
        <f>ROUND(I45*'Start Page'!$G$46,2)*$B$13</f>
        <v>0</v>
      </c>
      <c r="J48" s="102">
        <f>ROUND(J45*'Start Page'!$G$46,2)*$B$13</f>
        <v>0</v>
      </c>
      <c r="K48" s="102">
        <f>ROUND(K45*'Start Page'!$G$46,2)*$B$13</f>
        <v>0</v>
      </c>
      <c r="L48" s="102">
        <f>ROUND(L45*'Start Page'!$G$46,2)*$B$13</f>
        <v>0</v>
      </c>
      <c r="M48" s="102">
        <f>ROUND(M45*'Start Page'!$G$46,2)*$B$13</f>
        <v>0</v>
      </c>
    </row>
    <row r="49" spans="1:13" x14ac:dyDescent="0.2">
      <c r="A49" s="98"/>
      <c r="B49" s="98">
        <f>B44+B46</f>
        <v>144</v>
      </c>
      <c r="C49" s="115" t="s">
        <v>17</v>
      </c>
      <c r="D49" s="111">
        <f t="shared" ref="D49:M49" si="56">D44+D46+D48</f>
        <v>2583.7399999999998</v>
      </c>
      <c r="E49" s="111">
        <f t="shared" si="56"/>
        <v>2669.94</v>
      </c>
      <c r="F49" s="111">
        <f t="shared" si="56"/>
        <v>2756.52</v>
      </c>
      <c r="G49" s="111">
        <f t="shared" si="56"/>
        <v>2842.7200000000003</v>
      </c>
      <c r="H49" s="111">
        <f t="shared" si="56"/>
        <v>2927.48</v>
      </c>
      <c r="I49" s="111">
        <f t="shared" si="56"/>
        <v>3014.0599999999995</v>
      </c>
      <c r="J49" s="111">
        <f t="shared" si="56"/>
        <v>3100.26</v>
      </c>
      <c r="K49" s="111">
        <f t="shared" si="56"/>
        <v>3186.84</v>
      </c>
      <c r="L49" s="111">
        <f t="shared" si="56"/>
        <v>3273.04</v>
      </c>
      <c r="M49" s="111">
        <f t="shared" si="56"/>
        <v>3359.62</v>
      </c>
    </row>
    <row r="50" spans="1:13" x14ac:dyDescent="0.2">
      <c r="A50" s="98"/>
      <c r="B50" s="98"/>
      <c r="C50" s="115" t="s">
        <v>33</v>
      </c>
      <c r="D50" s="111">
        <f>D49*26</f>
        <v>67177.239999999991</v>
      </c>
      <c r="E50" s="111">
        <f t="shared" ref="E50" si="57">E49*26</f>
        <v>69418.44</v>
      </c>
      <c r="F50" s="111">
        <f t="shared" ref="F50" si="58">F49*26</f>
        <v>71669.52</v>
      </c>
      <c r="G50" s="111">
        <f t="shared" ref="G50" si="59">G49*26</f>
        <v>73910.720000000001</v>
      </c>
      <c r="H50" s="111">
        <f t="shared" ref="H50" si="60">H49*26</f>
        <v>76114.48</v>
      </c>
      <c r="I50" s="111">
        <f t="shared" ref="I50" si="61">I49*26</f>
        <v>78365.559999999983</v>
      </c>
      <c r="J50" s="111">
        <f t="shared" ref="J50" si="62">J49*26</f>
        <v>80606.760000000009</v>
      </c>
      <c r="K50" s="111">
        <f t="shared" ref="K50" si="63">K49*26</f>
        <v>82857.84</v>
      </c>
      <c r="L50" s="111">
        <f t="shared" ref="L50" si="64">L49*26</f>
        <v>85099.04</v>
      </c>
      <c r="M50" s="111">
        <f t="shared" ref="M50" si="65">M49*26</f>
        <v>87350.12</v>
      </c>
    </row>
    <row r="51" spans="1:13" s="134" customFormat="1" x14ac:dyDescent="0.2">
      <c r="A51" s="112"/>
      <c r="B51" s="112"/>
      <c r="C51" s="113" t="s">
        <v>66</v>
      </c>
      <c r="D51" s="136">
        <f>D45*$B$13*26</f>
        <v>59342.400000000001</v>
      </c>
      <c r="E51" s="136">
        <f t="shared" ref="E51:M51" si="66">E45*$B$13*26</f>
        <v>61326.719999999994</v>
      </c>
      <c r="F51" s="136">
        <f t="shared" si="66"/>
        <v>63311.040000000001</v>
      </c>
      <c r="G51" s="136">
        <f t="shared" si="66"/>
        <v>65295.360000000001</v>
      </c>
      <c r="H51" s="136">
        <f t="shared" si="66"/>
        <v>67242.240000000005</v>
      </c>
      <c r="I51" s="136">
        <f t="shared" si="66"/>
        <v>69226.559999999998</v>
      </c>
      <c r="J51" s="136">
        <f t="shared" si="66"/>
        <v>71210.880000000005</v>
      </c>
      <c r="K51" s="136">
        <f t="shared" si="66"/>
        <v>73195.200000000012</v>
      </c>
      <c r="L51" s="136">
        <f t="shared" si="66"/>
        <v>75179.51999999999</v>
      </c>
      <c r="M51" s="114">
        <f t="shared" si="66"/>
        <v>77163.839999999997</v>
      </c>
    </row>
    <row r="52" spans="1:13" x14ac:dyDescent="0.2">
      <c r="A52" s="98"/>
      <c r="B52" s="98"/>
      <c r="C52" s="128" t="s">
        <v>30</v>
      </c>
      <c r="D52" s="135">
        <f>'GS Pay Scale'!B14</f>
        <v>48378</v>
      </c>
      <c r="E52" s="135">
        <f>'GS Pay Scale'!C14</f>
        <v>49991</v>
      </c>
      <c r="F52" s="135">
        <f>'GS Pay Scale'!D14</f>
        <v>51604</v>
      </c>
      <c r="G52" s="135">
        <f>'GS Pay Scale'!E14</f>
        <v>53216</v>
      </c>
      <c r="H52" s="135">
        <f>'GS Pay Scale'!F14</f>
        <v>54829</v>
      </c>
      <c r="I52" s="135">
        <f>'GS Pay Scale'!G14</f>
        <v>56442</v>
      </c>
      <c r="J52" s="135">
        <f>'GS Pay Scale'!H14</f>
        <v>58055</v>
      </c>
      <c r="K52" s="135">
        <f>'GS Pay Scale'!I14</f>
        <v>59668</v>
      </c>
      <c r="L52" s="135">
        <f>'GS Pay Scale'!J14</f>
        <v>61281</v>
      </c>
      <c r="M52" s="135">
        <f>'GS Pay Scale'!K14</f>
        <v>62894</v>
      </c>
    </row>
    <row r="53" spans="1:13" x14ac:dyDescent="0.2">
      <c r="A53" s="98"/>
      <c r="B53" s="98">
        <v>106</v>
      </c>
      <c r="C53" s="107" t="s">
        <v>38</v>
      </c>
      <c r="D53" s="102">
        <f t="shared" ref="D53:M53" si="67">D54*106</f>
        <v>1860.3000000000002</v>
      </c>
      <c r="E53" s="102">
        <f t="shared" si="67"/>
        <v>1922.8400000000001</v>
      </c>
      <c r="F53" s="102">
        <f t="shared" si="67"/>
        <v>1984.32</v>
      </c>
      <c r="G53" s="102">
        <f t="shared" si="67"/>
        <v>2046.86</v>
      </c>
      <c r="H53" s="102">
        <f t="shared" si="67"/>
        <v>2108.34</v>
      </c>
      <c r="I53" s="102">
        <f t="shared" si="67"/>
        <v>2170.88</v>
      </c>
      <c r="J53" s="102">
        <f t="shared" si="67"/>
        <v>2232.3599999999997</v>
      </c>
      <c r="K53" s="102">
        <f t="shared" si="67"/>
        <v>2294.8999999999996</v>
      </c>
      <c r="L53" s="102">
        <f t="shared" si="67"/>
        <v>2357.44</v>
      </c>
      <c r="M53" s="102">
        <f t="shared" si="67"/>
        <v>2418.92</v>
      </c>
    </row>
    <row r="54" spans="1:13" x14ac:dyDescent="0.2">
      <c r="A54" s="98"/>
      <c r="B54" s="98"/>
      <c r="C54" s="107" t="s">
        <v>13</v>
      </c>
      <c r="D54" s="102">
        <f>ROUND(D52/2756,2)</f>
        <v>17.55</v>
      </c>
      <c r="E54" s="102">
        <f t="shared" ref="E54:M54" si="68">ROUND(E52/2756,2)</f>
        <v>18.14</v>
      </c>
      <c r="F54" s="102">
        <f t="shared" si="68"/>
        <v>18.72</v>
      </c>
      <c r="G54" s="102">
        <f t="shared" si="68"/>
        <v>19.309999999999999</v>
      </c>
      <c r="H54" s="102">
        <f t="shared" si="68"/>
        <v>19.89</v>
      </c>
      <c r="I54" s="102">
        <f t="shared" si="68"/>
        <v>20.48</v>
      </c>
      <c r="J54" s="102">
        <f t="shared" si="68"/>
        <v>21.06</v>
      </c>
      <c r="K54" s="102">
        <f t="shared" si="68"/>
        <v>21.65</v>
      </c>
      <c r="L54" s="102">
        <f t="shared" si="68"/>
        <v>22.24</v>
      </c>
      <c r="M54" s="102">
        <f t="shared" si="68"/>
        <v>22.82</v>
      </c>
    </row>
    <row r="55" spans="1:13" x14ac:dyDescent="0.2">
      <c r="A55" s="101"/>
      <c r="B55" s="106">
        <f>($G$3-53)*2</f>
        <v>38</v>
      </c>
      <c r="C55" s="107" t="s">
        <v>39</v>
      </c>
      <c r="D55" s="102">
        <f t="shared" ref="D55:M55" si="69">D56*$B$10</f>
        <v>1000.54</v>
      </c>
      <c r="E55" s="102">
        <f t="shared" si="69"/>
        <v>1033.98</v>
      </c>
      <c r="F55" s="102">
        <f t="shared" si="69"/>
        <v>1067.04</v>
      </c>
      <c r="G55" s="102">
        <f t="shared" si="69"/>
        <v>1100.8599999999999</v>
      </c>
      <c r="H55" s="102">
        <f t="shared" si="69"/>
        <v>1133.92</v>
      </c>
      <c r="I55" s="102">
        <f t="shared" si="69"/>
        <v>1167.3599999999999</v>
      </c>
      <c r="J55" s="102">
        <f t="shared" si="69"/>
        <v>1200.42</v>
      </c>
      <c r="K55" s="102">
        <f t="shared" si="69"/>
        <v>1234.2399999999998</v>
      </c>
      <c r="L55" s="102">
        <f t="shared" si="69"/>
        <v>1267.68</v>
      </c>
      <c r="M55" s="102">
        <f t="shared" si="69"/>
        <v>1300.7399999999998</v>
      </c>
    </row>
    <row r="56" spans="1:13" x14ac:dyDescent="0.2">
      <c r="A56" s="98" t="s">
        <v>15</v>
      </c>
      <c r="B56" s="98"/>
      <c r="C56" s="107" t="s">
        <v>14</v>
      </c>
      <c r="D56" s="102">
        <f>IF(ROUND(D54*1.5,2)&lt;$G$122,ROUND(D54*1.5,2),IF($G$122&lt;D54,D54,$G$122))</f>
        <v>26.33</v>
      </c>
      <c r="E56" s="102">
        <f t="shared" ref="E56:M56" si="70">IF(ROUND(E54*1.5,2)&lt;$G$122,ROUND(E54*1.5,2),IF($G$122&lt;E54,E54,$G$122))</f>
        <v>27.21</v>
      </c>
      <c r="F56" s="102">
        <f t="shared" si="70"/>
        <v>28.08</v>
      </c>
      <c r="G56" s="102">
        <f t="shared" si="70"/>
        <v>28.97</v>
      </c>
      <c r="H56" s="102">
        <f t="shared" si="70"/>
        <v>29.84</v>
      </c>
      <c r="I56" s="102">
        <f t="shared" si="70"/>
        <v>30.72</v>
      </c>
      <c r="J56" s="102">
        <f t="shared" si="70"/>
        <v>31.59</v>
      </c>
      <c r="K56" s="102">
        <f t="shared" si="70"/>
        <v>32.479999999999997</v>
      </c>
      <c r="L56" s="102">
        <f t="shared" si="70"/>
        <v>33.36</v>
      </c>
      <c r="M56" s="102">
        <f t="shared" si="70"/>
        <v>34.229999999999997</v>
      </c>
    </row>
    <row r="57" spans="1:13" s="84" customFormat="1" x14ac:dyDescent="0.2">
      <c r="A57" s="108"/>
      <c r="B57" s="108"/>
      <c r="C57" s="103" t="s">
        <v>43</v>
      </c>
      <c r="D57" s="102">
        <f>ROUND(D54*'Start Page'!$G$46,2)*$B$13</f>
        <v>0</v>
      </c>
      <c r="E57" s="102">
        <f>ROUND(E54*'Start Page'!$G$46,2)*$B$13</f>
        <v>0</v>
      </c>
      <c r="F57" s="102">
        <f>ROUND(F54*'Start Page'!$G$46,2)*$B$13</f>
        <v>0</v>
      </c>
      <c r="G57" s="102">
        <f>ROUND(G54*'Start Page'!$G$46,2)*$B$13</f>
        <v>0</v>
      </c>
      <c r="H57" s="102">
        <f>ROUND(H54*'Start Page'!$G$46,2)*$B$13</f>
        <v>0</v>
      </c>
      <c r="I57" s="102">
        <f>ROUND(I54*'Start Page'!$G$46,2)*$B$13</f>
        <v>0</v>
      </c>
      <c r="J57" s="102">
        <f>ROUND(J54*'Start Page'!$G$46,2)*$B$13</f>
        <v>0</v>
      </c>
      <c r="K57" s="102">
        <f>ROUND(K54*'Start Page'!$G$46,2)*$B$13</f>
        <v>0</v>
      </c>
      <c r="L57" s="102">
        <f>ROUND(L54*'Start Page'!$G$46,2)*$B$13</f>
        <v>0</v>
      </c>
      <c r="M57" s="102">
        <f>ROUND(M54*'Start Page'!$G$46,2)*$B$13</f>
        <v>0</v>
      </c>
    </row>
    <row r="58" spans="1:13" x14ac:dyDescent="0.2">
      <c r="A58" s="98"/>
      <c r="B58" s="98">
        <f>B53+B55</f>
        <v>144</v>
      </c>
      <c r="C58" s="115" t="s">
        <v>17</v>
      </c>
      <c r="D58" s="111">
        <f t="shared" ref="D58:M58" si="71">D53+D55+D57</f>
        <v>2860.84</v>
      </c>
      <c r="E58" s="111">
        <f t="shared" si="71"/>
        <v>2956.82</v>
      </c>
      <c r="F58" s="111">
        <f t="shared" si="71"/>
        <v>3051.3599999999997</v>
      </c>
      <c r="G58" s="111">
        <f t="shared" si="71"/>
        <v>3147.72</v>
      </c>
      <c r="H58" s="111">
        <f t="shared" si="71"/>
        <v>3242.26</v>
      </c>
      <c r="I58" s="111">
        <f t="shared" si="71"/>
        <v>3338.24</v>
      </c>
      <c r="J58" s="111">
        <f t="shared" si="71"/>
        <v>3432.7799999999997</v>
      </c>
      <c r="K58" s="111">
        <f t="shared" si="71"/>
        <v>3529.1399999999994</v>
      </c>
      <c r="L58" s="111">
        <f t="shared" si="71"/>
        <v>3625.12</v>
      </c>
      <c r="M58" s="111">
        <f t="shared" si="71"/>
        <v>3719.66</v>
      </c>
    </row>
    <row r="59" spans="1:13" x14ac:dyDescent="0.2">
      <c r="A59" s="98"/>
      <c r="B59" s="98"/>
      <c r="C59" s="115" t="s">
        <v>33</v>
      </c>
      <c r="D59" s="111">
        <f>D58*26</f>
        <v>74381.84</v>
      </c>
      <c r="E59" s="111">
        <f t="shared" ref="E59" si="72">E58*26</f>
        <v>76877.320000000007</v>
      </c>
      <c r="F59" s="111">
        <f t="shared" ref="F59" si="73">F58*26</f>
        <v>79335.359999999986</v>
      </c>
      <c r="G59" s="111">
        <f t="shared" ref="G59" si="74">G58*26</f>
        <v>81840.72</v>
      </c>
      <c r="H59" s="111">
        <f t="shared" ref="H59" si="75">H58*26</f>
        <v>84298.760000000009</v>
      </c>
      <c r="I59" s="111">
        <f t="shared" ref="I59" si="76">I58*26</f>
        <v>86794.239999999991</v>
      </c>
      <c r="J59" s="111">
        <f t="shared" ref="J59" si="77">J58*26</f>
        <v>89252.28</v>
      </c>
      <c r="K59" s="111">
        <f t="shared" ref="K59" si="78">K58*26</f>
        <v>91757.639999999985</v>
      </c>
      <c r="L59" s="111">
        <f t="shared" ref="L59" si="79">L58*26</f>
        <v>94253.119999999995</v>
      </c>
      <c r="M59" s="111">
        <f t="shared" ref="M59" si="80">M58*26</f>
        <v>96711.16</v>
      </c>
    </row>
    <row r="60" spans="1:13" s="134" customFormat="1" x14ac:dyDescent="0.2">
      <c r="A60" s="112"/>
      <c r="B60" s="112"/>
      <c r="C60" s="113" t="s">
        <v>66</v>
      </c>
      <c r="D60" s="136">
        <f>D54*$B$13*26</f>
        <v>65707.200000000012</v>
      </c>
      <c r="E60" s="136">
        <f t="shared" ref="E60:M60" si="81">E54*$B$13*26</f>
        <v>67916.160000000003</v>
      </c>
      <c r="F60" s="136">
        <f t="shared" si="81"/>
        <v>70087.679999999993</v>
      </c>
      <c r="G60" s="136">
        <f t="shared" si="81"/>
        <v>72296.639999999999</v>
      </c>
      <c r="H60" s="136">
        <f t="shared" si="81"/>
        <v>74468.160000000003</v>
      </c>
      <c r="I60" s="136">
        <f t="shared" si="81"/>
        <v>76677.119999999995</v>
      </c>
      <c r="J60" s="136">
        <f t="shared" si="81"/>
        <v>78848.639999999999</v>
      </c>
      <c r="K60" s="136">
        <f t="shared" si="81"/>
        <v>81057.599999999991</v>
      </c>
      <c r="L60" s="136">
        <f t="shared" si="81"/>
        <v>83266.559999999998</v>
      </c>
      <c r="M60" s="114">
        <f t="shared" si="81"/>
        <v>85438.080000000002</v>
      </c>
    </row>
    <row r="61" spans="1:13" x14ac:dyDescent="0.2">
      <c r="A61" s="96" t="s">
        <v>0</v>
      </c>
      <c r="B61" s="96" t="s">
        <v>40</v>
      </c>
      <c r="C61" s="96" t="s">
        <v>1</v>
      </c>
      <c r="D61" s="96" t="s">
        <v>2</v>
      </c>
      <c r="E61" s="96" t="s">
        <v>3</v>
      </c>
      <c r="F61" s="96" t="s">
        <v>4</v>
      </c>
      <c r="G61" s="96" t="s">
        <v>5</v>
      </c>
      <c r="H61" s="96" t="s">
        <v>6</v>
      </c>
      <c r="I61" s="96" t="s">
        <v>7</v>
      </c>
      <c r="J61" s="96" t="s">
        <v>8</v>
      </c>
      <c r="K61" s="96" t="s">
        <v>9</v>
      </c>
      <c r="L61" s="96" t="s">
        <v>10</v>
      </c>
      <c r="M61" s="96" t="s">
        <v>11</v>
      </c>
    </row>
    <row r="62" spans="1:13" x14ac:dyDescent="0.2">
      <c r="A62" s="97"/>
      <c r="B62" s="98"/>
      <c r="C62" s="128" t="s">
        <v>30</v>
      </c>
      <c r="D62" s="135">
        <f>'GS Pay Scale'!B15</f>
        <v>53433</v>
      </c>
      <c r="E62" s="135">
        <f>'GS Pay Scale'!C15</f>
        <v>55214</v>
      </c>
      <c r="F62" s="135">
        <f>'GS Pay Scale'!D15</f>
        <v>56995</v>
      </c>
      <c r="G62" s="135">
        <f>'GS Pay Scale'!E15</f>
        <v>58776</v>
      </c>
      <c r="H62" s="135">
        <f>'GS Pay Scale'!F15</f>
        <v>60557</v>
      </c>
      <c r="I62" s="135">
        <f>'GS Pay Scale'!G15</f>
        <v>62338</v>
      </c>
      <c r="J62" s="135">
        <f>'GS Pay Scale'!H15</f>
        <v>64119</v>
      </c>
      <c r="K62" s="135">
        <f>'GS Pay Scale'!I15</f>
        <v>65900</v>
      </c>
      <c r="L62" s="135">
        <f>'GS Pay Scale'!J15</f>
        <v>67681</v>
      </c>
      <c r="M62" s="135">
        <f>'GS Pay Scale'!K15</f>
        <v>69462</v>
      </c>
    </row>
    <row r="63" spans="1:13" x14ac:dyDescent="0.2">
      <c r="A63" s="98"/>
      <c r="B63" s="98">
        <v>106</v>
      </c>
      <c r="C63" s="107" t="s">
        <v>38</v>
      </c>
      <c r="D63" s="102">
        <f t="shared" ref="D63:M63" si="82">D64*106</f>
        <v>2055.34</v>
      </c>
      <c r="E63" s="102">
        <f t="shared" si="82"/>
        <v>2123.1800000000003</v>
      </c>
      <c r="F63" s="102">
        <f t="shared" si="82"/>
        <v>2192.08</v>
      </c>
      <c r="G63" s="102">
        <f t="shared" si="82"/>
        <v>2260.98</v>
      </c>
      <c r="H63" s="102">
        <f t="shared" si="82"/>
        <v>2328.8199999999997</v>
      </c>
      <c r="I63" s="102">
        <f t="shared" si="82"/>
        <v>2397.7200000000003</v>
      </c>
      <c r="J63" s="102">
        <f t="shared" si="82"/>
        <v>2466.62</v>
      </c>
      <c r="K63" s="102">
        <f t="shared" si="82"/>
        <v>2534.46</v>
      </c>
      <c r="L63" s="102">
        <f t="shared" si="82"/>
        <v>2603.3599999999997</v>
      </c>
      <c r="M63" s="102">
        <f t="shared" si="82"/>
        <v>2671.2</v>
      </c>
    </row>
    <row r="64" spans="1:13" x14ac:dyDescent="0.2">
      <c r="A64" s="98"/>
      <c r="B64" s="98"/>
      <c r="C64" s="107" t="s">
        <v>13</v>
      </c>
      <c r="D64" s="102">
        <f>ROUND(D62/2756,2)</f>
        <v>19.39</v>
      </c>
      <c r="E64" s="102">
        <f t="shared" ref="E64:M64" si="83">ROUND(E62/2756,2)</f>
        <v>20.03</v>
      </c>
      <c r="F64" s="102">
        <f t="shared" si="83"/>
        <v>20.68</v>
      </c>
      <c r="G64" s="102">
        <f t="shared" si="83"/>
        <v>21.33</v>
      </c>
      <c r="H64" s="102">
        <f t="shared" si="83"/>
        <v>21.97</v>
      </c>
      <c r="I64" s="102">
        <f t="shared" si="83"/>
        <v>22.62</v>
      </c>
      <c r="J64" s="102">
        <f t="shared" si="83"/>
        <v>23.27</v>
      </c>
      <c r="K64" s="102">
        <f t="shared" si="83"/>
        <v>23.91</v>
      </c>
      <c r="L64" s="102">
        <f t="shared" si="83"/>
        <v>24.56</v>
      </c>
      <c r="M64" s="102">
        <f t="shared" si="83"/>
        <v>25.2</v>
      </c>
    </row>
    <row r="65" spans="1:13" x14ac:dyDescent="0.2">
      <c r="A65" s="101"/>
      <c r="B65" s="106">
        <f>($G$3-53)*2</f>
        <v>38</v>
      </c>
      <c r="C65" s="107" t="s">
        <v>39</v>
      </c>
      <c r="D65" s="102">
        <f t="shared" ref="D65:M65" si="84">D66*$B$10</f>
        <v>1105.42</v>
      </c>
      <c r="E65" s="102">
        <f t="shared" si="84"/>
        <v>1141.9000000000001</v>
      </c>
      <c r="F65" s="102">
        <f t="shared" si="84"/>
        <v>1178.76</v>
      </c>
      <c r="G65" s="102">
        <f t="shared" si="84"/>
        <v>1216</v>
      </c>
      <c r="H65" s="102">
        <f t="shared" si="84"/>
        <v>1252.48</v>
      </c>
      <c r="I65" s="102">
        <f t="shared" si="84"/>
        <v>1289.3399999999999</v>
      </c>
      <c r="J65" s="102">
        <f t="shared" si="84"/>
        <v>1326.58</v>
      </c>
      <c r="K65" s="102">
        <f t="shared" si="84"/>
        <v>1363.06</v>
      </c>
      <c r="L65" s="102">
        <f t="shared" si="84"/>
        <v>1399.92</v>
      </c>
      <c r="M65" s="102">
        <f t="shared" si="84"/>
        <v>1436.3999999999999</v>
      </c>
    </row>
    <row r="66" spans="1:13" x14ac:dyDescent="0.2">
      <c r="A66" s="98" t="s">
        <v>21</v>
      </c>
      <c r="B66" s="98"/>
      <c r="C66" s="107" t="s">
        <v>14</v>
      </c>
      <c r="D66" s="102">
        <f>IF(ROUND(D64*1.5,2)&lt;$G$122,ROUND(D64*1.5,2),IF($G$122&lt;D64,D64,$G$122))</f>
        <v>29.09</v>
      </c>
      <c r="E66" s="102">
        <f t="shared" ref="E66:M66" si="85">IF(ROUND(E64*1.5,2)&lt;$G$122,ROUND(E64*1.5,2),IF($G$122&lt;E64,E64,$G$122))</f>
        <v>30.05</v>
      </c>
      <c r="F66" s="102">
        <f t="shared" si="85"/>
        <v>31.02</v>
      </c>
      <c r="G66" s="102">
        <f t="shared" si="85"/>
        <v>32</v>
      </c>
      <c r="H66" s="102">
        <f t="shared" si="85"/>
        <v>32.96</v>
      </c>
      <c r="I66" s="102">
        <f t="shared" si="85"/>
        <v>33.93</v>
      </c>
      <c r="J66" s="102">
        <f t="shared" si="85"/>
        <v>34.909999999999997</v>
      </c>
      <c r="K66" s="102">
        <f t="shared" si="85"/>
        <v>35.869999999999997</v>
      </c>
      <c r="L66" s="102">
        <f t="shared" si="85"/>
        <v>36.840000000000003</v>
      </c>
      <c r="M66" s="102">
        <f t="shared" si="85"/>
        <v>37.799999999999997</v>
      </c>
    </row>
    <row r="67" spans="1:13" s="84" customFormat="1" x14ac:dyDescent="0.2">
      <c r="A67" s="108"/>
      <c r="B67" s="108"/>
      <c r="C67" s="103" t="s">
        <v>43</v>
      </c>
      <c r="D67" s="102">
        <f>ROUND(D64*'Start Page'!$G$46,2)*$B$13</f>
        <v>0</v>
      </c>
      <c r="E67" s="102">
        <f>ROUND(E64*'Start Page'!$G$46,2)*$B$13</f>
        <v>0</v>
      </c>
      <c r="F67" s="102">
        <f>ROUND(F64*'Start Page'!$G$46,2)*$B$13</f>
        <v>0</v>
      </c>
      <c r="G67" s="102">
        <f>ROUND(G64*'Start Page'!$G$46,2)*$B$13</f>
        <v>0</v>
      </c>
      <c r="H67" s="102">
        <f>ROUND(H64*'Start Page'!$G$46,2)*$B$13</f>
        <v>0</v>
      </c>
      <c r="I67" s="102">
        <f>ROUND(I64*'Start Page'!$G$46,2)*$B$13</f>
        <v>0</v>
      </c>
      <c r="J67" s="102">
        <f>ROUND(J64*'Start Page'!$G$46,2)*$B$13</f>
        <v>0</v>
      </c>
      <c r="K67" s="102">
        <f>ROUND(K64*'Start Page'!$G$46,2)*$B$13</f>
        <v>0</v>
      </c>
      <c r="L67" s="102">
        <f>ROUND(L64*'Start Page'!$G$46,2)*$B$13</f>
        <v>0</v>
      </c>
      <c r="M67" s="102">
        <f>ROUND(M64*'Start Page'!$G$46,2)*$B$13</f>
        <v>0</v>
      </c>
    </row>
    <row r="68" spans="1:13" x14ac:dyDescent="0.2">
      <c r="A68" s="98"/>
      <c r="B68" s="98">
        <f>B63+B65</f>
        <v>144</v>
      </c>
      <c r="C68" s="115" t="s">
        <v>17</v>
      </c>
      <c r="D68" s="111">
        <f t="shared" ref="D68:M68" si="86">D63+D65+D67</f>
        <v>3160.76</v>
      </c>
      <c r="E68" s="111">
        <f t="shared" si="86"/>
        <v>3265.0800000000004</v>
      </c>
      <c r="F68" s="111">
        <f t="shared" si="86"/>
        <v>3370.84</v>
      </c>
      <c r="G68" s="111">
        <f t="shared" si="86"/>
        <v>3476.98</v>
      </c>
      <c r="H68" s="111">
        <f t="shared" si="86"/>
        <v>3581.2999999999997</v>
      </c>
      <c r="I68" s="111">
        <f t="shared" si="86"/>
        <v>3687.0600000000004</v>
      </c>
      <c r="J68" s="111">
        <f t="shared" si="86"/>
        <v>3793.2</v>
      </c>
      <c r="K68" s="111">
        <f t="shared" si="86"/>
        <v>3897.52</v>
      </c>
      <c r="L68" s="111">
        <f t="shared" si="86"/>
        <v>4003.2799999999997</v>
      </c>
      <c r="M68" s="111">
        <f t="shared" si="86"/>
        <v>4107.5999999999995</v>
      </c>
    </row>
    <row r="69" spans="1:13" x14ac:dyDescent="0.2">
      <c r="A69" s="98"/>
      <c r="B69" s="98"/>
      <c r="C69" s="115" t="s">
        <v>33</v>
      </c>
      <c r="D69" s="111">
        <f>D68*26</f>
        <v>82179.760000000009</v>
      </c>
      <c r="E69" s="111">
        <f t="shared" ref="E69" si="87">E68*26</f>
        <v>84892.080000000016</v>
      </c>
      <c r="F69" s="111">
        <f t="shared" ref="F69" si="88">F68*26</f>
        <v>87641.84</v>
      </c>
      <c r="G69" s="111">
        <f t="shared" ref="G69" si="89">G68*26</f>
        <v>90401.48</v>
      </c>
      <c r="H69" s="111">
        <f t="shared" ref="H69" si="90">H68*26</f>
        <v>93113.799999999988</v>
      </c>
      <c r="I69" s="111">
        <f t="shared" ref="I69" si="91">I68*26</f>
        <v>95863.560000000012</v>
      </c>
      <c r="J69" s="111">
        <f t="shared" ref="J69" si="92">J68*26</f>
        <v>98623.2</v>
      </c>
      <c r="K69" s="111">
        <f t="shared" ref="K69" si="93">K68*26</f>
        <v>101335.52</v>
      </c>
      <c r="L69" s="111">
        <f t="shared" ref="L69" si="94">L68*26</f>
        <v>104085.28</v>
      </c>
      <c r="M69" s="111">
        <f t="shared" ref="M69" si="95">M68*26</f>
        <v>106797.59999999999</v>
      </c>
    </row>
    <row r="70" spans="1:13" s="134" customFormat="1" x14ac:dyDescent="0.2">
      <c r="A70" s="112"/>
      <c r="B70" s="112"/>
      <c r="C70" s="113" t="s">
        <v>66</v>
      </c>
      <c r="D70" s="136">
        <f>D64*$B$13*26</f>
        <v>72596.160000000003</v>
      </c>
      <c r="E70" s="136">
        <f t="shared" ref="E70:M70" si="96">E64*$B$13*26</f>
        <v>74992.320000000007</v>
      </c>
      <c r="F70" s="136">
        <f t="shared" si="96"/>
        <v>77425.919999999998</v>
      </c>
      <c r="G70" s="136">
        <f t="shared" si="96"/>
        <v>79859.51999999999</v>
      </c>
      <c r="H70" s="136">
        <f t="shared" si="96"/>
        <v>82255.679999999993</v>
      </c>
      <c r="I70" s="136">
        <f t="shared" si="96"/>
        <v>84689.279999999999</v>
      </c>
      <c r="J70" s="136">
        <f t="shared" si="96"/>
        <v>87122.880000000005</v>
      </c>
      <c r="K70" s="136">
        <f t="shared" si="96"/>
        <v>89519.039999999994</v>
      </c>
      <c r="L70" s="136">
        <f t="shared" si="96"/>
        <v>91952.639999999999</v>
      </c>
      <c r="M70" s="114">
        <f t="shared" si="96"/>
        <v>94348.799999999988</v>
      </c>
    </row>
    <row r="71" spans="1:13" x14ac:dyDescent="0.2">
      <c r="A71" s="98"/>
      <c r="B71" s="98"/>
      <c r="C71" s="128" t="s">
        <v>30</v>
      </c>
      <c r="D71" s="135">
        <f>'GS Pay Scale'!B16</f>
        <v>58842</v>
      </c>
      <c r="E71" s="135">
        <f>'GS Pay Scale'!C16</f>
        <v>60804</v>
      </c>
      <c r="F71" s="135">
        <f>'GS Pay Scale'!D16</f>
        <v>62766</v>
      </c>
      <c r="G71" s="135">
        <f>'GS Pay Scale'!E16</f>
        <v>64728</v>
      </c>
      <c r="H71" s="135">
        <f>'GS Pay Scale'!F16</f>
        <v>66690</v>
      </c>
      <c r="I71" s="135">
        <f>'GS Pay Scale'!G16</f>
        <v>68652</v>
      </c>
      <c r="J71" s="135">
        <f>'GS Pay Scale'!H16</f>
        <v>70614</v>
      </c>
      <c r="K71" s="135">
        <f>'GS Pay Scale'!I16</f>
        <v>72575</v>
      </c>
      <c r="L71" s="135">
        <f>'GS Pay Scale'!J16</f>
        <v>74537</v>
      </c>
      <c r="M71" s="135">
        <f>'GS Pay Scale'!K16</f>
        <v>76499</v>
      </c>
    </row>
    <row r="72" spans="1:13" x14ac:dyDescent="0.2">
      <c r="A72" s="98"/>
      <c r="B72" s="98">
        <v>106</v>
      </c>
      <c r="C72" s="107" t="s">
        <v>38</v>
      </c>
      <c r="D72" s="102">
        <f t="shared" ref="D72:M72" si="97">D73*106</f>
        <v>2263.1000000000004</v>
      </c>
      <c r="E72" s="102">
        <f t="shared" si="97"/>
        <v>2338.3599999999997</v>
      </c>
      <c r="F72" s="102">
        <f t="shared" si="97"/>
        <v>2413.62</v>
      </c>
      <c r="G72" s="102">
        <f t="shared" si="97"/>
        <v>2489.94</v>
      </c>
      <c r="H72" s="102">
        <f t="shared" si="97"/>
        <v>2565.1999999999998</v>
      </c>
      <c r="I72" s="102">
        <f t="shared" si="97"/>
        <v>2640.46</v>
      </c>
      <c r="J72" s="102">
        <f t="shared" si="97"/>
        <v>2715.7200000000003</v>
      </c>
      <c r="K72" s="102">
        <f t="shared" si="97"/>
        <v>2790.98</v>
      </c>
      <c r="L72" s="102">
        <f t="shared" si="97"/>
        <v>2867.3</v>
      </c>
      <c r="M72" s="102">
        <f t="shared" si="97"/>
        <v>2942.56</v>
      </c>
    </row>
    <row r="73" spans="1:13" x14ac:dyDescent="0.2">
      <c r="A73" s="98"/>
      <c r="B73" s="98"/>
      <c r="C73" s="107" t="s">
        <v>13</v>
      </c>
      <c r="D73" s="102">
        <f t="shared" ref="D73:M73" si="98">ROUND(D71/2756,2)</f>
        <v>21.35</v>
      </c>
      <c r="E73" s="102">
        <f t="shared" si="98"/>
        <v>22.06</v>
      </c>
      <c r="F73" s="102">
        <f t="shared" si="98"/>
        <v>22.77</v>
      </c>
      <c r="G73" s="102">
        <f t="shared" si="98"/>
        <v>23.49</v>
      </c>
      <c r="H73" s="102">
        <f t="shared" si="98"/>
        <v>24.2</v>
      </c>
      <c r="I73" s="102">
        <f t="shared" si="98"/>
        <v>24.91</v>
      </c>
      <c r="J73" s="102">
        <f t="shared" si="98"/>
        <v>25.62</v>
      </c>
      <c r="K73" s="102">
        <f t="shared" si="98"/>
        <v>26.33</v>
      </c>
      <c r="L73" s="102">
        <f t="shared" si="98"/>
        <v>27.05</v>
      </c>
      <c r="M73" s="102">
        <f t="shared" si="98"/>
        <v>27.76</v>
      </c>
    </row>
    <row r="74" spans="1:13" x14ac:dyDescent="0.2">
      <c r="A74" s="101"/>
      <c r="B74" s="106">
        <f>($G$3-53)*2</f>
        <v>38</v>
      </c>
      <c r="C74" s="107" t="s">
        <v>39</v>
      </c>
      <c r="D74" s="102">
        <f t="shared" ref="D74:M74" si="99">D75*$B$10</f>
        <v>1217.1400000000001</v>
      </c>
      <c r="E74" s="102">
        <f t="shared" si="99"/>
        <v>1257.42</v>
      </c>
      <c r="F74" s="102">
        <f t="shared" si="99"/>
        <v>1298.08</v>
      </c>
      <c r="G74" s="102">
        <f t="shared" si="99"/>
        <v>1339.1200000000001</v>
      </c>
      <c r="H74" s="102">
        <f t="shared" si="99"/>
        <v>1379.3999999999999</v>
      </c>
      <c r="I74" s="102">
        <f t="shared" si="99"/>
        <v>1420.06</v>
      </c>
      <c r="J74" s="102">
        <f t="shared" si="99"/>
        <v>1460.34</v>
      </c>
      <c r="K74" s="102">
        <f t="shared" si="99"/>
        <v>1501</v>
      </c>
      <c r="L74" s="102">
        <f t="shared" si="99"/>
        <v>1542.04</v>
      </c>
      <c r="M74" s="102">
        <f t="shared" si="99"/>
        <v>1582.32</v>
      </c>
    </row>
    <row r="75" spans="1:13" x14ac:dyDescent="0.2">
      <c r="A75" s="98" t="s">
        <v>25</v>
      </c>
      <c r="B75" s="98"/>
      <c r="C75" s="107" t="s">
        <v>14</v>
      </c>
      <c r="D75" s="102">
        <f t="shared" ref="D75:M75" si="100">IF(ROUND(D73*1.5,2)&lt;$G$122,ROUND(D73*1.5,2),IF($G$122&lt;D73,D73,$G$122))</f>
        <v>32.03</v>
      </c>
      <c r="E75" s="102">
        <f t="shared" si="100"/>
        <v>33.090000000000003</v>
      </c>
      <c r="F75" s="102">
        <f t="shared" si="100"/>
        <v>34.159999999999997</v>
      </c>
      <c r="G75" s="102">
        <f t="shared" si="100"/>
        <v>35.24</v>
      </c>
      <c r="H75" s="102">
        <f t="shared" si="100"/>
        <v>36.299999999999997</v>
      </c>
      <c r="I75" s="102">
        <f t="shared" si="100"/>
        <v>37.369999999999997</v>
      </c>
      <c r="J75" s="102">
        <f t="shared" si="100"/>
        <v>38.43</v>
      </c>
      <c r="K75" s="102">
        <f t="shared" si="100"/>
        <v>39.5</v>
      </c>
      <c r="L75" s="102">
        <f t="shared" si="100"/>
        <v>40.58</v>
      </c>
      <c r="M75" s="102">
        <f t="shared" si="100"/>
        <v>41.64</v>
      </c>
    </row>
    <row r="76" spans="1:13" s="84" customFormat="1" x14ac:dyDescent="0.2">
      <c r="A76" s="108"/>
      <c r="B76" s="108"/>
      <c r="C76" s="103" t="s">
        <v>43</v>
      </c>
      <c r="D76" s="102">
        <f>ROUND(D73*'Start Page'!$G$46,2)*$B$13</f>
        <v>0</v>
      </c>
      <c r="E76" s="102">
        <f>ROUND(E73*'Start Page'!$G$46,2)*$B$13</f>
        <v>0</v>
      </c>
      <c r="F76" s="102">
        <f>ROUND(F73*'Start Page'!$G$46,2)*$B$13</f>
        <v>0</v>
      </c>
      <c r="G76" s="102">
        <f>ROUND(G73*'Start Page'!$G$46,2)*$B$13</f>
        <v>0</v>
      </c>
      <c r="H76" s="102">
        <f>ROUND(H73*'Start Page'!$G$46,2)*$B$13</f>
        <v>0</v>
      </c>
      <c r="I76" s="102">
        <f>ROUND(I73*'Start Page'!$G$46,2)*$B$13</f>
        <v>0</v>
      </c>
      <c r="J76" s="102">
        <f>ROUND(J73*'Start Page'!$G$46,2)*$B$13</f>
        <v>0</v>
      </c>
      <c r="K76" s="102">
        <f>ROUND(K73*'Start Page'!$G$46,2)*$B$13</f>
        <v>0</v>
      </c>
      <c r="L76" s="102">
        <f>ROUND(L73*'Start Page'!$G$46,2)*$B$13</f>
        <v>0</v>
      </c>
      <c r="M76" s="102">
        <f>ROUND(M73*'Start Page'!$G$46,2)*$B$13</f>
        <v>0</v>
      </c>
    </row>
    <row r="77" spans="1:13" x14ac:dyDescent="0.2">
      <c r="A77" s="98"/>
      <c r="B77" s="98">
        <f>B72+B74</f>
        <v>144</v>
      </c>
      <c r="C77" s="115" t="s">
        <v>17</v>
      </c>
      <c r="D77" s="111">
        <f t="shared" ref="D77:M77" si="101">D72+D74+D76</f>
        <v>3480.2400000000007</v>
      </c>
      <c r="E77" s="111">
        <f t="shared" si="101"/>
        <v>3595.7799999999997</v>
      </c>
      <c r="F77" s="111">
        <f t="shared" si="101"/>
        <v>3711.7</v>
      </c>
      <c r="G77" s="111">
        <f t="shared" si="101"/>
        <v>3829.0600000000004</v>
      </c>
      <c r="H77" s="111">
        <f t="shared" si="101"/>
        <v>3944.5999999999995</v>
      </c>
      <c r="I77" s="111">
        <f t="shared" si="101"/>
        <v>4060.52</v>
      </c>
      <c r="J77" s="111">
        <f t="shared" si="101"/>
        <v>4176.0600000000004</v>
      </c>
      <c r="K77" s="111">
        <f t="shared" si="101"/>
        <v>4291.9799999999996</v>
      </c>
      <c r="L77" s="111">
        <f t="shared" si="101"/>
        <v>4409.34</v>
      </c>
      <c r="M77" s="111">
        <f t="shared" si="101"/>
        <v>4524.88</v>
      </c>
    </row>
    <row r="78" spans="1:13" x14ac:dyDescent="0.2">
      <c r="A78" s="98"/>
      <c r="B78" s="98"/>
      <c r="C78" s="115" t="s">
        <v>33</v>
      </c>
      <c r="D78" s="111">
        <f>D77*26</f>
        <v>90486.24000000002</v>
      </c>
      <c r="E78" s="111">
        <f t="shared" ref="E78" si="102">E77*26</f>
        <v>93490.28</v>
      </c>
      <c r="F78" s="111">
        <f t="shared" ref="F78" si="103">F77*26</f>
        <v>96504.2</v>
      </c>
      <c r="G78" s="111">
        <f t="shared" ref="G78" si="104">G77*26</f>
        <v>99555.560000000012</v>
      </c>
      <c r="H78" s="111">
        <f t="shared" ref="H78" si="105">H77*26</f>
        <v>102559.59999999999</v>
      </c>
      <c r="I78" s="111">
        <f t="shared" ref="I78" si="106">I77*26</f>
        <v>105573.52</v>
      </c>
      <c r="J78" s="111">
        <f t="shared" ref="J78" si="107">J77*26</f>
        <v>108577.56000000001</v>
      </c>
      <c r="K78" s="111">
        <f t="shared" ref="K78" si="108">K77*26</f>
        <v>111591.47999999998</v>
      </c>
      <c r="L78" s="111">
        <f t="shared" ref="L78" si="109">L77*26</f>
        <v>114642.84</v>
      </c>
      <c r="M78" s="111">
        <f t="shared" ref="M78" si="110">M77*26</f>
        <v>117646.88</v>
      </c>
    </row>
    <row r="79" spans="1:13" s="134" customFormat="1" x14ac:dyDescent="0.2">
      <c r="A79" s="112"/>
      <c r="B79" s="112"/>
      <c r="C79" s="113" t="s">
        <v>66</v>
      </c>
      <c r="D79" s="136">
        <f>D73*$B$13*26</f>
        <v>79934.400000000009</v>
      </c>
      <c r="E79" s="136">
        <f t="shared" ref="E79:M79" si="111">E73*$B$13*26</f>
        <v>82592.639999999999</v>
      </c>
      <c r="F79" s="136">
        <f t="shared" si="111"/>
        <v>85250.880000000005</v>
      </c>
      <c r="G79" s="136">
        <f t="shared" si="111"/>
        <v>87946.559999999998</v>
      </c>
      <c r="H79" s="136">
        <f t="shared" si="111"/>
        <v>90604.799999999988</v>
      </c>
      <c r="I79" s="136">
        <f t="shared" si="111"/>
        <v>93263.039999999994</v>
      </c>
      <c r="J79" s="136">
        <f t="shared" si="111"/>
        <v>95921.279999999999</v>
      </c>
      <c r="K79" s="136">
        <f t="shared" si="111"/>
        <v>98579.51999999999</v>
      </c>
      <c r="L79" s="136">
        <f t="shared" si="111"/>
        <v>101275.20000000001</v>
      </c>
      <c r="M79" s="114">
        <f t="shared" si="111"/>
        <v>103933.44</v>
      </c>
    </row>
    <row r="80" spans="1:13" x14ac:dyDescent="0.2">
      <c r="A80" s="98"/>
      <c r="B80" s="98"/>
      <c r="C80" s="128" t="s">
        <v>30</v>
      </c>
      <c r="D80" s="135">
        <f>'GS Pay Scale'!B17</f>
        <v>64649</v>
      </c>
      <c r="E80" s="135">
        <f>'GS Pay Scale'!C17</f>
        <v>66805</v>
      </c>
      <c r="F80" s="135">
        <f>'GS Pay Scale'!D17</f>
        <v>68960</v>
      </c>
      <c r="G80" s="135">
        <f>'GS Pay Scale'!E17</f>
        <v>71116</v>
      </c>
      <c r="H80" s="135">
        <f>'GS Pay Scale'!F17</f>
        <v>73271</v>
      </c>
      <c r="I80" s="135">
        <f>'GS Pay Scale'!G17</f>
        <v>75427</v>
      </c>
      <c r="J80" s="135">
        <f>'GS Pay Scale'!H17</f>
        <v>77582</v>
      </c>
      <c r="K80" s="135">
        <f>'GS Pay Scale'!I17</f>
        <v>79738</v>
      </c>
      <c r="L80" s="135">
        <f>'GS Pay Scale'!J17</f>
        <v>81893</v>
      </c>
      <c r="M80" s="135">
        <f>'GS Pay Scale'!K17</f>
        <v>84049</v>
      </c>
    </row>
    <row r="81" spans="1:13" x14ac:dyDescent="0.2">
      <c r="A81" s="98"/>
      <c r="B81" s="98">
        <v>106</v>
      </c>
      <c r="C81" s="107" t="s">
        <v>38</v>
      </c>
      <c r="D81" s="102">
        <f t="shared" ref="D81:M81" si="112">D82*106</f>
        <v>2486.7600000000002</v>
      </c>
      <c r="E81" s="102">
        <f t="shared" si="112"/>
        <v>2569.44</v>
      </c>
      <c r="F81" s="102">
        <f t="shared" si="112"/>
        <v>2652.12</v>
      </c>
      <c r="G81" s="102">
        <f t="shared" si="112"/>
        <v>2734.8</v>
      </c>
      <c r="H81" s="102">
        <f t="shared" si="112"/>
        <v>2818.54</v>
      </c>
      <c r="I81" s="102">
        <f t="shared" si="112"/>
        <v>2901.2200000000003</v>
      </c>
      <c r="J81" s="102">
        <f t="shared" si="112"/>
        <v>2983.8999999999996</v>
      </c>
      <c r="K81" s="102">
        <f t="shared" si="112"/>
        <v>3066.58</v>
      </c>
      <c r="L81" s="102">
        <f t="shared" si="112"/>
        <v>3149.26</v>
      </c>
      <c r="M81" s="102">
        <f t="shared" si="112"/>
        <v>3233</v>
      </c>
    </row>
    <row r="82" spans="1:13" x14ac:dyDescent="0.2">
      <c r="A82" s="98"/>
      <c r="B82" s="98"/>
      <c r="C82" s="107" t="s">
        <v>13</v>
      </c>
      <c r="D82" s="102">
        <f t="shared" ref="D82:M82" si="113">ROUND(D80/2756,2)</f>
        <v>23.46</v>
      </c>
      <c r="E82" s="102">
        <f t="shared" si="113"/>
        <v>24.24</v>
      </c>
      <c r="F82" s="102">
        <f t="shared" si="113"/>
        <v>25.02</v>
      </c>
      <c r="G82" s="102">
        <f t="shared" si="113"/>
        <v>25.8</v>
      </c>
      <c r="H82" s="102">
        <f t="shared" si="113"/>
        <v>26.59</v>
      </c>
      <c r="I82" s="102">
        <f t="shared" si="113"/>
        <v>27.37</v>
      </c>
      <c r="J82" s="102">
        <f t="shared" si="113"/>
        <v>28.15</v>
      </c>
      <c r="K82" s="102">
        <f t="shared" si="113"/>
        <v>28.93</v>
      </c>
      <c r="L82" s="102">
        <f t="shared" si="113"/>
        <v>29.71</v>
      </c>
      <c r="M82" s="102">
        <f t="shared" si="113"/>
        <v>30.5</v>
      </c>
    </row>
    <row r="83" spans="1:13" x14ac:dyDescent="0.2">
      <c r="A83" s="101"/>
      <c r="B83" s="106">
        <f>($G$3-53)*2</f>
        <v>38</v>
      </c>
      <c r="C83" s="107" t="s">
        <v>39</v>
      </c>
      <c r="D83" s="102">
        <f t="shared" ref="D83:M83" si="114">D84*$B$10</f>
        <v>1337.2199999999998</v>
      </c>
      <c r="E83" s="102">
        <f t="shared" si="114"/>
        <v>1381.68</v>
      </c>
      <c r="F83" s="102">
        <f t="shared" si="114"/>
        <v>1426.14</v>
      </c>
      <c r="G83" s="102">
        <f t="shared" si="114"/>
        <v>1470.6000000000001</v>
      </c>
      <c r="H83" s="102">
        <f t="shared" si="114"/>
        <v>1515.82</v>
      </c>
      <c r="I83" s="102">
        <f t="shared" si="114"/>
        <v>1560.2800000000002</v>
      </c>
      <c r="J83" s="102">
        <f t="shared" si="114"/>
        <v>1604.7399999999998</v>
      </c>
      <c r="K83" s="102">
        <f t="shared" si="114"/>
        <v>1607.02</v>
      </c>
      <c r="L83" s="102">
        <f t="shared" si="114"/>
        <v>1607.02</v>
      </c>
      <c r="M83" s="102">
        <f t="shared" si="114"/>
        <v>1607.02</v>
      </c>
    </row>
    <row r="84" spans="1:13" x14ac:dyDescent="0.2">
      <c r="A84" s="98" t="s">
        <v>16</v>
      </c>
      <c r="B84" s="98"/>
      <c r="C84" s="107" t="s">
        <v>14</v>
      </c>
      <c r="D84" s="102">
        <f t="shared" ref="D84:M84" si="115">IF(ROUND(D82*1.5,2)&lt;$G$122,ROUND(D82*1.5,2),IF($G$122&lt;D82,D82,$G$122))</f>
        <v>35.19</v>
      </c>
      <c r="E84" s="102">
        <f t="shared" si="115"/>
        <v>36.36</v>
      </c>
      <c r="F84" s="102">
        <f t="shared" si="115"/>
        <v>37.53</v>
      </c>
      <c r="G84" s="102">
        <f t="shared" si="115"/>
        <v>38.700000000000003</v>
      </c>
      <c r="H84" s="102">
        <f t="shared" si="115"/>
        <v>39.89</v>
      </c>
      <c r="I84" s="102">
        <f t="shared" si="115"/>
        <v>41.06</v>
      </c>
      <c r="J84" s="102">
        <f t="shared" si="115"/>
        <v>42.23</v>
      </c>
      <c r="K84" s="102">
        <f t="shared" si="115"/>
        <v>42.29</v>
      </c>
      <c r="L84" s="102">
        <f t="shared" si="115"/>
        <v>42.29</v>
      </c>
      <c r="M84" s="102">
        <f t="shared" si="115"/>
        <v>42.29</v>
      </c>
    </row>
    <row r="85" spans="1:13" s="84" customFormat="1" x14ac:dyDescent="0.2">
      <c r="A85" s="108"/>
      <c r="B85" s="108"/>
      <c r="C85" s="103" t="s">
        <v>43</v>
      </c>
      <c r="D85" s="102">
        <f>ROUND(D82*'Start Page'!$G$46,2)*$B$13</f>
        <v>0</v>
      </c>
      <c r="E85" s="102">
        <f>ROUND(E82*'Start Page'!$G$46,2)*$B$13</f>
        <v>0</v>
      </c>
      <c r="F85" s="102">
        <f>ROUND(F82*'Start Page'!$G$46,2)*$B$13</f>
        <v>0</v>
      </c>
      <c r="G85" s="102">
        <f>ROUND(G82*'Start Page'!$G$46,2)*$B$13</f>
        <v>0</v>
      </c>
      <c r="H85" s="102">
        <f>ROUND(H82*'Start Page'!$G$46,2)*$B$13</f>
        <v>0</v>
      </c>
      <c r="I85" s="102">
        <f>ROUND(I82*'Start Page'!$G$46,2)*$B$13</f>
        <v>0</v>
      </c>
      <c r="J85" s="102">
        <f>ROUND(J82*'Start Page'!$G$46,2)*$B$13</f>
        <v>0</v>
      </c>
      <c r="K85" s="102">
        <f>ROUND(K82*'Start Page'!$G$46,2)*$B$13</f>
        <v>0</v>
      </c>
      <c r="L85" s="102">
        <f>ROUND(L82*'Start Page'!$G$46,2)*$B$13</f>
        <v>0</v>
      </c>
      <c r="M85" s="102">
        <f>ROUND(M82*'Start Page'!$G$46,2)*$B$13</f>
        <v>0</v>
      </c>
    </row>
    <row r="86" spans="1:13" x14ac:dyDescent="0.2">
      <c r="A86" s="98"/>
      <c r="B86" s="98">
        <f>B81+B83</f>
        <v>144</v>
      </c>
      <c r="C86" s="115" t="s">
        <v>17</v>
      </c>
      <c r="D86" s="111">
        <f t="shared" ref="D86:M86" si="116">D81+D83+D85</f>
        <v>3823.98</v>
      </c>
      <c r="E86" s="111">
        <f t="shared" si="116"/>
        <v>3951.12</v>
      </c>
      <c r="F86" s="111">
        <f t="shared" si="116"/>
        <v>4078.26</v>
      </c>
      <c r="G86" s="111">
        <f t="shared" si="116"/>
        <v>4205.4000000000005</v>
      </c>
      <c r="H86" s="111">
        <f t="shared" si="116"/>
        <v>4334.3599999999997</v>
      </c>
      <c r="I86" s="111">
        <f t="shared" si="116"/>
        <v>4461.5</v>
      </c>
      <c r="J86" s="111">
        <f t="shared" si="116"/>
        <v>4588.6399999999994</v>
      </c>
      <c r="K86" s="111">
        <f t="shared" si="116"/>
        <v>4673.6000000000004</v>
      </c>
      <c r="L86" s="111">
        <f t="shared" si="116"/>
        <v>4756.2800000000007</v>
      </c>
      <c r="M86" s="111">
        <f t="shared" si="116"/>
        <v>4840.0200000000004</v>
      </c>
    </row>
    <row r="87" spans="1:13" x14ac:dyDescent="0.2">
      <c r="A87" s="98"/>
      <c r="B87" s="98"/>
      <c r="C87" s="115" t="s">
        <v>33</v>
      </c>
      <c r="D87" s="111">
        <f>D86*26</f>
        <v>99423.48</v>
      </c>
      <c r="E87" s="111">
        <f t="shared" ref="E87" si="117">E86*26</f>
        <v>102729.12</v>
      </c>
      <c r="F87" s="111">
        <f t="shared" ref="F87" si="118">F86*26</f>
        <v>106034.76000000001</v>
      </c>
      <c r="G87" s="111">
        <f t="shared" ref="G87" si="119">G86*26</f>
        <v>109340.40000000001</v>
      </c>
      <c r="H87" s="111">
        <f t="shared" ref="H87" si="120">H86*26</f>
        <v>112693.35999999999</v>
      </c>
      <c r="I87" s="111">
        <f t="shared" ref="I87" si="121">I86*26</f>
        <v>115999</v>
      </c>
      <c r="J87" s="111">
        <f t="shared" ref="J87" si="122">J86*26</f>
        <v>119304.63999999998</v>
      </c>
      <c r="K87" s="111">
        <f t="shared" ref="K87" si="123">K86*26</f>
        <v>121513.60000000001</v>
      </c>
      <c r="L87" s="111">
        <f t="shared" ref="L87" si="124">L86*26</f>
        <v>123663.28000000001</v>
      </c>
      <c r="M87" s="111">
        <f t="shared" ref="M87" si="125">M86*26</f>
        <v>125840.52000000002</v>
      </c>
    </row>
    <row r="88" spans="1:13" s="134" customFormat="1" x14ac:dyDescent="0.2">
      <c r="A88" s="112"/>
      <c r="B88" s="112"/>
      <c r="C88" s="113" t="s">
        <v>66</v>
      </c>
      <c r="D88" s="136">
        <f>D82*$B$13*26</f>
        <v>87834.240000000005</v>
      </c>
      <c r="E88" s="136">
        <f t="shared" ref="E88:M88" si="126">E82*$B$13*26</f>
        <v>90754.559999999998</v>
      </c>
      <c r="F88" s="136">
        <f t="shared" si="126"/>
        <v>93674.880000000005</v>
      </c>
      <c r="G88" s="136">
        <f t="shared" si="126"/>
        <v>96595.200000000012</v>
      </c>
      <c r="H88" s="136">
        <f t="shared" si="126"/>
        <v>99552.960000000006</v>
      </c>
      <c r="I88" s="136">
        <f t="shared" si="126"/>
        <v>102473.28</v>
      </c>
      <c r="J88" s="136">
        <f t="shared" si="126"/>
        <v>105393.59999999999</v>
      </c>
      <c r="K88" s="136">
        <f t="shared" si="126"/>
        <v>108313.92</v>
      </c>
      <c r="L88" s="136">
        <f t="shared" si="126"/>
        <v>111234.23999999999</v>
      </c>
      <c r="M88" s="114">
        <f t="shared" si="126"/>
        <v>114192</v>
      </c>
    </row>
    <row r="89" spans="1:13" x14ac:dyDescent="0.2">
      <c r="A89" s="98"/>
      <c r="B89" s="98"/>
      <c r="C89" s="128" t="s">
        <v>30</v>
      </c>
      <c r="D89" s="135">
        <f>'GS Pay Scale'!B18</f>
        <v>77488</v>
      </c>
      <c r="E89" s="135">
        <f>'GS Pay Scale'!C18</f>
        <v>80072</v>
      </c>
      <c r="F89" s="135">
        <f>'GS Pay Scale'!D18</f>
        <v>82655</v>
      </c>
      <c r="G89" s="135">
        <f>'GS Pay Scale'!E18</f>
        <v>85238</v>
      </c>
      <c r="H89" s="135">
        <f>'GS Pay Scale'!F18</f>
        <v>87822</v>
      </c>
      <c r="I89" s="135">
        <f>'GS Pay Scale'!G18</f>
        <v>90405</v>
      </c>
      <c r="J89" s="135">
        <f>'GS Pay Scale'!H18</f>
        <v>92988</v>
      </c>
      <c r="K89" s="135">
        <f>'GS Pay Scale'!I18</f>
        <v>95572</v>
      </c>
      <c r="L89" s="135">
        <f>'GS Pay Scale'!J18</f>
        <v>98155</v>
      </c>
      <c r="M89" s="135">
        <f>'GS Pay Scale'!K18</f>
        <v>100739</v>
      </c>
    </row>
    <row r="90" spans="1:13" x14ac:dyDescent="0.2">
      <c r="A90" s="98"/>
      <c r="B90" s="98">
        <v>106</v>
      </c>
      <c r="C90" s="107" t="s">
        <v>38</v>
      </c>
      <c r="D90" s="102">
        <f t="shared" ref="D90:M90" si="127">D91*106</f>
        <v>2980.7200000000003</v>
      </c>
      <c r="E90" s="102">
        <f t="shared" si="127"/>
        <v>3079.3</v>
      </c>
      <c r="F90" s="102">
        <f t="shared" si="127"/>
        <v>3178.94</v>
      </c>
      <c r="G90" s="102">
        <f t="shared" si="127"/>
        <v>3278.58</v>
      </c>
      <c r="H90" s="102">
        <f t="shared" si="127"/>
        <v>3378.2200000000003</v>
      </c>
      <c r="I90" s="102">
        <f t="shared" si="127"/>
        <v>3476.7999999999997</v>
      </c>
      <c r="J90" s="102">
        <f t="shared" si="127"/>
        <v>3576.44</v>
      </c>
      <c r="K90" s="102">
        <f t="shared" si="127"/>
        <v>3676.08</v>
      </c>
      <c r="L90" s="102">
        <f t="shared" si="127"/>
        <v>3775.72</v>
      </c>
      <c r="M90" s="102">
        <f t="shared" si="127"/>
        <v>3874.2999999999997</v>
      </c>
    </row>
    <row r="91" spans="1:13" x14ac:dyDescent="0.2">
      <c r="A91" s="98"/>
      <c r="B91" s="98"/>
      <c r="C91" s="107" t="s">
        <v>13</v>
      </c>
      <c r="D91" s="102">
        <f t="shared" ref="D91:M91" si="128">ROUND(D89/2756,2)</f>
        <v>28.12</v>
      </c>
      <c r="E91" s="102">
        <f t="shared" si="128"/>
        <v>29.05</v>
      </c>
      <c r="F91" s="102">
        <f t="shared" si="128"/>
        <v>29.99</v>
      </c>
      <c r="G91" s="102">
        <f t="shared" si="128"/>
        <v>30.93</v>
      </c>
      <c r="H91" s="102">
        <f t="shared" si="128"/>
        <v>31.87</v>
      </c>
      <c r="I91" s="102">
        <f t="shared" si="128"/>
        <v>32.799999999999997</v>
      </c>
      <c r="J91" s="102">
        <f t="shared" si="128"/>
        <v>33.74</v>
      </c>
      <c r="K91" s="102">
        <f t="shared" si="128"/>
        <v>34.68</v>
      </c>
      <c r="L91" s="102">
        <f t="shared" si="128"/>
        <v>35.619999999999997</v>
      </c>
      <c r="M91" s="102">
        <f t="shared" si="128"/>
        <v>36.549999999999997</v>
      </c>
    </row>
    <row r="92" spans="1:13" x14ac:dyDescent="0.2">
      <c r="A92" s="101"/>
      <c r="B92" s="106">
        <f>($G$3-53)*2</f>
        <v>38</v>
      </c>
      <c r="C92" s="107" t="s">
        <v>39</v>
      </c>
      <c r="D92" s="102">
        <f t="shared" ref="D92:M92" si="129">D93*$B$10</f>
        <v>1602.84</v>
      </c>
      <c r="E92" s="102">
        <f t="shared" si="129"/>
        <v>1607.02</v>
      </c>
      <c r="F92" s="102">
        <f t="shared" si="129"/>
        <v>1607.02</v>
      </c>
      <c r="G92" s="102">
        <f t="shared" si="129"/>
        <v>1607.02</v>
      </c>
      <c r="H92" s="102">
        <f t="shared" si="129"/>
        <v>1607.02</v>
      </c>
      <c r="I92" s="102">
        <f t="shared" si="129"/>
        <v>1607.02</v>
      </c>
      <c r="J92" s="102">
        <f t="shared" si="129"/>
        <v>1607.02</v>
      </c>
      <c r="K92" s="102">
        <f t="shared" si="129"/>
        <v>1607.02</v>
      </c>
      <c r="L92" s="102">
        <f t="shared" si="129"/>
        <v>1607.02</v>
      </c>
      <c r="M92" s="102">
        <f t="shared" si="129"/>
        <v>1607.02</v>
      </c>
    </row>
    <row r="93" spans="1:13" x14ac:dyDescent="0.2">
      <c r="A93" s="98" t="s">
        <v>26</v>
      </c>
      <c r="B93" s="98"/>
      <c r="C93" s="107" t="s">
        <v>14</v>
      </c>
      <c r="D93" s="102">
        <f t="shared" ref="D93:M93" si="130">IF(ROUND(D91*1.5,2)&lt;$G$122,ROUND(D91*1.5,2),IF($G$122&lt;D91,D91,$G$122))</f>
        <v>42.18</v>
      </c>
      <c r="E93" s="102">
        <f t="shared" si="130"/>
        <v>42.29</v>
      </c>
      <c r="F93" s="102">
        <f t="shared" si="130"/>
        <v>42.29</v>
      </c>
      <c r="G93" s="102">
        <f t="shared" si="130"/>
        <v>42.29</v>
      </c>
      <c r="H93" s="102">
        <f t="shared" si="130"/>
        <v>42.29</v>
      </c>
      <c r="I93" s="102">
        <f t="shared" si="130"/>
        <v>42.29</v>
      </c>
      <c r="J93" s="102">
        <f t="shared" si="130"/>
        <v>42.29</v>
      </c>
      <c r="K93" s="102">
        <f t="shared" si="130"/>
        <v>42.29</v>
      </c>
      <c r="L93" s="102">
        <f t="shared" si="130"/>
        <v>42.29</v>
      </c>
      <c r="M93" s="102">
        <f t="shared" si="130"/>
        <v>42.29</v>
      </c>
    </row>
    <row r="94" spans="1:13" s="84" customFormat="1" x14ac:dyDescent="0.2">
      <c r="A94" s="108"/>
      <c r="B94" s="108"/>
      <c r="C94" s="103" t="s">
        <v>43</v>
      </c>
      <c r="D94" s="102">
        <f>ROUND(D91*'Start Page'!$G$46,2)*$B$13</f>
        <v>0</v>
      </c>
      <c r="E94" s="102">
        <f>ROUND(E91*'Start Page'!$G$46,2)*$B$13</f>
        <v>0</v>
      </c>
      <c r="F94" s="102">
        <f>ROUND(F91*'Start Page'!$G$46,2)*$B$13</f>
        <v>0</v>
      </c>
      <c r="G94" s="102">
        <f>ROUND(G91*'Start Page'!$G$46,2)*$B$13</f>
        <v>0</v>
      </c>
      <c r="H94" s="102">
        <f>ROUND(H91*'Start Page'!$G$46,2)*$B$13</f>
        <v>0</v>
      </c>
      <c r="I94" s="102">
        <f>ROUND(I91*'Start Page'!$G$46,2)*$B$13</f>
        <v>0</v>
      </c>
      <c r="J94" s="102">
        <f>ROUND(J91*'Start Page'!$G$46,2)*$B$13</f>
        <v>0</v>
      </c>
      <c r="K94" s="102">
        <f>ROUND(K91*'Start Page'!$G$46,2)*$B$13</f>
        <v>0</v>
      </c>
      <c r="L94" s="102">
        <f>ROUND(L91*'Start Page'!$G$46,2)*$B$13</f>
        <v>0</v>
      </c>
      <c r="M94" s="102">
        <f>ROUND(M91*'Start Page'!$G$46,2)*$B$13</f>
        <v>0</v>
      </c>
    </row>
    <row r="95" spans="1:13" x14ac:dyDescent="0.2">
      <c r="A95" s="98"/>
      <c r="B95" s="98">
        <f>B90+B92</f>
        <v>144</v>
      </c>
      <c r="C95" s="115" t="s">
        <v>17</v>
      </c>
      <c r="D95" s="111">
        <f t="shared" ref="D95:M95" si="131">D90+D92+D94</f>
        <v>4583.5600000000004</v>
      </c>
      <c r="E95" s="111">
        <f t="shared" si="131"/>
        <v>4686.32</v>
      </c>
      <c r="F95" s="111">
        <f t="shared" si="131"/>
        <v>4785.96</v>
      </c>
      <c r="G95" s="111">
        <f t="shared" si="131"/>
        <v>4885.6000000000004</v>
      </c>
      <c r="H95" s="111">
        <f t="shared" si="131"/>
        <v>4985.24</v>
      </c>
      <c r="I95" s="111">
        <f t="shared" si="131"/>
        <v>5083.82</v>
      </c>
      <c r="J95" s="111">
        <f t="shared" si="131"/>
        <v>5183.46</v>
      </c>
      <c r="K95" s="111">
        <f t="shared" si="131"/>
        <v>5283.1</v>
      </c>
      <c r="L95" s="111">
        <f t="shared" si="131"/>
        <v>5382.74</v>
      </c>
      <c r="M95" s="111">
        <f t="shared" si="131"/>
        <v>5481.32</v>
      </c>
    </row>
    <row r="96" spans="1:13" x14ac:dyDescent="0.2">
      <c r="A96" s="98"/>
      <c r="B96" s="98"/>
      <c r="C96" s="115" t="s">
        <v>33</v>
      </c>
      <c r="D96" s="111">
        <f>D95*26</f>
        <v>119172.56000000001</v>
      </c>
      <c r="E96" s="111">
        <f t="shared" ref="E96" si="132">E95*26</f>
        <v>121844.31999999999</v>
      </c>
      <c r="F96" s="111">
        <f t="shared" ref="F96" si="133">F95*26</f>
        <v>124434.96</v>
      </c>
      <c r="G96" s="111">
        <f t="shared" ref="G96" si="134">G95*26</f>
        <v>127025.60000000001</v>
      </c>
      <c r="H96" s="111">
        <f t="shared" ref="H96" si="135">H95*26</f>
        <v>129616.23999999999</v>
      </c>
      <c r="I96" s="111">
        <f t="shared" ref="I96" si="136">I95*26</f>
        <v>132179.32</v>
      </c>
      <c r="J96" s="111">
        <f t="shared" ref="J96" si="137">J95*26</f>
        <v>134769.96</v>
      </c>
      <c r="K96" s="111">
        <f t="shared" ref="K96" si="138">K95*26</f>
        <v>137360.6</v>
      </c>
      <c r="L96" s="111">
        <f t="shared" ref="L96" si="139">L95*26</f>
        <v>139951.24</v>
      </c>
      <c r="M96" s="111">
        <f t="shared" ref="M96" si="140">M95*26</f>
        <v>142514.32</v>
      </c>
    </row>
    <row r="97" spans="1:13" s="134" customFormat="1" x14ac:dyDescent="0.2">
      <c r="A97" s="112"/>
      <c r="B97" s="112"/>
      <c r="C97" s="113" t="s">
        <v>66</v>
      </c>
      <c r="D97" s="136">
        <f>D91*$B$13*26</f>
        <v>105281.28</v>
      </c>
      <c r="E97" s="136">
        <f t="shared" ref="E97:M97" si="141">E91*$B$13*26</f>
        <v>108763.2</v>
      </c>
      <c r="F97" s="136">
        <f t="shared" si="141"/>
        <v>112282.55999999998</v>
      </c>
      <c r="G97" s="136">
        <f t="shared" si="141"/>
        <v>115801.92</v>
      </c>
      <c r="H97" s="136">
        <f t="shared" si="141"/>
        <v>119321.28</v>
      </c>
      <c r="I97" s="136">
        <f t="shared" si="141"/>
        <v>122803.2</v>
      </c>
      <c r="J97" s="136">
        <f t="shared" si="141"/>
        <v>126322.56000000001</v>
      </c>
      <c r="K97" s="136">
        <f t="shared" si="141"/>
        <v>129841.92</v>
      </c>
      <c r="L97" s="136">
        <f t="shared" si="141"/>
        <v>133361.28</v>
      </c>
      <c r="M97" s="114">
        <f t="shared" si="141"/>
        <v>136843.19999999998</v>
      </c>
    </row>
    <row r="98" spans="1:13" s="134" customFormat="1" x14ac:dyDescent="0.2">
      <c r="A98" s="98"/>
      <c r="B98" s="98"/>
      <c r="C98" s="128" t="s">
        <v>30</v>
      </c>
      <c r="D98" s="135">
        <f>'GS Pay Scale'!B19</f>
        <v>92143</v>
      </c>
      <c r="E98" s="135">
        <f>'GS Pay Scale'!C19</f>
        <v>95215</v>
      </c>
      <c r="F98" s="135">
        <f>'GS Pay Scale'!D19</f>
        <v>98286</v>
      </c>
      <c r="G98" s="135">
        <f>'GS Pay Scale'!E19</f>
        <v>101358</v>
      </c>
      <c r="H98" s="135">
        <f>'GS Pay Scale'!F19</f>
        <v>104429</v>
      </c>
      <c r="I98" s="135">
        <f>'GS Pay Scale'!G19</f>
        <v>107501</v>
      </c>
      <c r="J98" s="135">
        <f>'GS Pay Scale'!H19</f>
        <v>110572</v>
      </c>
      <c r="K98" s="135">
        <f>'GS Pay Scale'!I19</f>
        <v>113644</v>
      </c>
      <c r="L98" s="135">
        <f>'GS Pay Scale'!J19</f>
        <v>116715</v>
      </c>
      <c r="M98" s="135">
        <f>'GS Pay Scale'!K19</f>
        <v>119787</v>
      </c>
    </row>
    <row r="99" spans="1:13" s="134" customFormat="1" x14ac:dyDescent="0.2">
      <c r="A99" s="98"/>
      <c r="B99" s="98">
        <v>106</v>
      </c>
      <c r="C99" s="107" t="s">
        <v>38</v>
      </c>
      <c r="D99" s="102">
        <f t="shared" ref="D99:M99" si="142">D100*106</f>
        <v>3543.58</v>
      </c>
      <c r="E99" s="102">
        <f t="shared" si="142"/>
        <v>3662.2999999999997</v>
      </c>
      <c r="F99" s="102">
        <f t="shared" si="142"/>
        <v>3779.9599999999996</v>
      </c>
      <c r="G99" s="102">
        <f t="shared" si="142"/>
        <v>3898.6800000000003</v>
      </c>
      <c r="H99" s="102">
        <f t="shared" si="142"/>
        <v>4016.34</v>
      </c>
      <c r="I99" s="102">
        <f t="shared" si="142"/>
        <v>4135.0599999999995</v>
      </c>
      <c r="J99" s="102">
        <f t="shared" si="142"/>
        <v>4252.7199999999993</v>
      </c>
      <c r="K99" s="102">
        <f t="shared" si="142"/>
        <v>4371.4400000000005</v>
      </c>
      <c r="L99" s="102">
        <f t="shared" si="142"/>
        <v>4489.1000000000004</v>
      </c>
      <c r="M99" s="102">
        <f t="shared" si="142"/>
        <v>4606.76</v>
      </c>
    </row>
    <row r="100" spans="1:13" s="134" customFormat="1" x14ac:dyDescent="0.2">
      <c r="A100" s="98"/>
      <c r="B100" s="98"/>
      <c r="C100" s="107" t="s">
        <v>13</v>
      </c>
      <c r="D100" s="102">
        <f t="shared" ref="D100:M100" si="143">ROUND(D98/2756,2)</f>
        <v>33.43</v>
      </c>
      <c r="E100" s="102">
        <f t="shared" si="143"/>
        <v>34.549999999999997</v>
      </c>
      <c r="F100" s="102">
        <f t="shared" si="143"/>
        <v>35.659999999999997</v>
      </c>
      <c r="G100" s="102">
        <f t="shared" si="143"/>
        <v>36.78</v>
      </c>
      <c r="H100" s="102">
        <f t="shared" si="143"/>
        <v>37.89</v>
      </c>
      <c r="I100" s="102">
        <f t="shared" si="143"/>
        <v>39.01</v>
      </c>
      <c r="J100" s="102">
        <f t="shared" si="143"/>
        <v>40.119999999999997</v>
      </c>
      <c r="K100" s="102">
        <f t="shared" si="143"/>
        <v>41.24</v>
      </c>
      <c r="L100" s="102">
        <f t="shared" si="143"/>
        <v>42.35</v>
      </c>
      <c r="M100" s="102">
        <f t="shared" si="143"/>
        <v>43.46</v>
      </c>
    </row>
    <row r="101" spans="1:13" s="134" customFormat="1" x14ac:dyDescent="0.2">
      <c r="A101" s="101"/>
      <c r="B101" s="106">
        <f>($G$3-53)*2</f>
        <v>38</v>
      </c>
      <c r="C101" s="107" t="s">
        <v>39</v>
      </c>
      <c r="D101" s="102">
        <f t="shared" ref="D101:M101" si="144">D102*$B$10</f>
        <v>1607.02</v>
      </c>
      <c r="E101" s="102">
        <f t="shared" si="144"/>
        <v>1607.02</v>
      </c>
      <c r="F101" s="102">
        <f t="shared" si="144"/>
        <v>1607.02</v>
      </c>
      <c r="G101" s="102">
        <f t="shared" si="144"/>
        <v>1607.02</v>
      </c>
      <c r="H101" s="102">
        <f t="shared" si="144"/>
        <v>1607.02</v>
      </c>
      <c r="I101" s="102">
        <f t="shared" si="144"/>
        <v>1607.02</v>
      </c>
      <c r="J101" s="102">
        <f t="shared" si="144"/>
        <v>1607.02</v>
      </c>
      <c r="K101" s="102">
        <f t="shared" si="144"/>
        <v>1607.02</v>
      </c>
      <c r="L101" s="102">
        <f t="shared" si="144"/>
        <v>1609.3</v>
      </c>
      <c r="M101" s="102">
        <f t="shared" si="144"/>
        <v>1651.48</v>
      </c>
    </row>
    <row r="102" spans="1:13" s="134" customFormat="1" x14ac:dyDescent="0.2">
      <c r="A102" s="98" t="s">
        <v>31</v>
      </c>
      <c r="B102" s="98"/>
      <c r="C102" s="107" t="s">
        <v>14</v>
      </c>
      <c r="D102" s="102">
        <f t="shared" ref="D102:M102" si="145">IF(ROUND(D100*1.5,2)&lt;$G$122,ROUND(D100*1.5,2),IF($G$122&lt;D100,D100,$G$122))</f>
        <v>42.29</v>
      </c>
      <c r="E102" s="102">
        <f t="shared" si="145"/>
        <v>42.29</v>
      </c>
      <c r="F102" s="102">
        <f t="shared" si="145"/>
        <v>42.29</v>
      </c>
      <c r="G102" s="102">
        <f t="shared" si="145"/>
        <v>42.29</v>
      </c>
      <c r="H102" s="102">
        <f t="shared" si="145"/>
        <v>42.29</v>
      </c>
      <c r="I102" s="102">
        <f t="shared" si="145"/>
        <v>42.29</v>
      </c>
      <c r="J102" s="102">
        <f t="shared" si="145"/>
        <v>42.29</v>
      </c>
      <c r="K102" s="102">
        <f t="shared" si="145"/>
        <v>42.29</v>
      </c>
      <c r="L102" s="102">
        <f t="shared" si="145"/>
        <v>42.35</v>
      </c>
      <c r="M102" s="102">
        <f t="shared" si="145"/>
        <v>43.46</v>
      </c>
    </row>
    <row r="103" spans="1:13" s="134" customFormat="1" x14ac:dyDescent="0.2">
      <c r="A103" s="108"/>
      <c r="B103" s="108"/>
      <c r="C103" s="103" t="s">
        <v>43</v>
      </c>
      <c r="D103" s="102">
        <f>ROUND(D100*'Start Page'!$G$46,2)*$B$13</f>
        <v>0</v>
      </c>
      <c r="E103" s="102">
        <f>ROUND(E100*'Start Page'!$G$46,2)*$B$13</f>
        <v>0</v>
      </c>
      <c r="F103" s="102">
        <f>ROUND(F100*'Start Page'!$G$46,2)*$B$13</f>
        <v>0</v>
      </c>
      <c r="G103" s="102">
        <f>ROUND(G100*'Start Page'!$G$46,2)*$B$13</f>
        <v>0</v>
      </c>
      <c r="H103" s="102">
        <f>ROUND(H100*'Start Page'!$G$46,2)*$B$13</f>
        <v>0</v>
      </c>
      <c r="I103" s="102">
        <f>ROUND(I100*'Start Page'!$G$46,2)*$B$13</f>
        <v>0</v>
      </c>
      <c r="J103" s="102">
        <f>ROUND(J100*'Start Page'!$G$46,2)*$B$13</f>
        <v>0</v>
      </c>
      <c r="K103" s="102">
        <f>ROUND(K100*'Start Page'!$G$46,2)*$B$13</f>
        <v>0</v>
      </c>
      <c r="L103" s="102">
        <f>ROUND(L100*'Start Page'!$G$46,2)*$B$13</f>
        <v>0</v>
      </c>
      <c r="M103" s="102">
        <f>ROUND(M100*'Start Page'!$G$46,2)*$B$13</f>
        <v>0</v>
      </c>
    </row>
    <row r="104" spans="1:13" s="134" customFormat="1" x14ac:dyDescent="0.2">
      <c r="A104" s="98"/>
      <c r="B104" s="98">
        <f>B99+B101</f>
        <v>144</v>
      </c>
      <c r="C104" s="115" t="s">
        <v>17</v>
      </c>
      <c r="D104" s="111">
        <f t="shared" ref="D104:M104" si="146">D99+D101+D103</f>
        <v>5150.6000000000004</v>
      </c>
      <c r="E104" s="111">
        <f t="shared" si="146"/>
        <v>5269.32</v>
      </c>
      <c r="F104" s="111">
        <f t="shared" si="146"/>
        <v>5386.98</v>
      </c>
      <c r="G104" s="111">
        <f t="shared" si="146"/>
        <v>5505.7000000000007</v>
      </c>
      <c r="H104" s="111">
        <f t="shared" si="146"/>
        <v>5623.3600000000006</v>
      </c>
      <c r="I104" s="111">
        <f t="shared" si="146"/>
        <v>5742.08</v>
      </c>
      <c r="J104" s="111">
        <f t="shared" si="146"/>
        <v>5859.74</v>
      </c>
      <c r="K104" s="111">
        <f t="shared" si="146"/>
        <v>5978.4600000000009</v>
      </c>
      <c r="L104" s="111">
        <f t="shared" si="146"/>
        <v>6098.4000000000005</v>
      </c>
      <c r="M104" s="111">
        <f t="shared" si="146"/>
        <v>6258.24</v>
      </c>
    </row>
    <row r="105" spans="1:13" s="134" customFormat="1" x14ac:dyDescent="0.2">
      <c r="A105" s="98"/>
      <c r="B105" s="98"/>
      <c r="C105" s="115" t="s">
        <v>33</v>
      </c>
      <c r="D105" s="111">
        <f>D104*26</f>
        <v>133915.6</v>
      </c>
      <c r="E105" s="111">
        <f t="shared" ref="E105" si="147">E104*26</f>
        <v>137002.32</v>
      </c>
      <c r="F105" s="111">
        <f t="shared" ref="F105" si="148">F104*26</f>
        <v>140061.47999999998</v>
      </c>
      <c r="G105" s="111">
        <f t="shared" ref="G105" si="149">G104*26</f>
        <v>143148.20000000001</v>
      </c>
      <c r="H105" s="111">
        <f t="shared" ref="H105" si="150">H104*26</f>
        <v>146207.36000000002</v>
      </c>
      <c r="I105" s="111">
        <f t="shared" ref="I105" si="151">I104*26</f>
        <v>149294.07999999999</v>
      </c>
      <c r="J105" s="111">
        <f t="shared" ref="J105" si="152">J104*26</f>
        <v>152353.24</v>
      </c>
      <c r="K105" s="111">
        <f t="shared" ref="K105" si="153">K104*26</f>
        <v>155439.96000000002</v>
      </c>
      <c r="L105" s="111">
        <f t="shared" ref="L105" si="154">L104*26</f>
        <v>158558.40000000002</v>
      </c>
      <c r="M105" s="111">
        <f t="shared" ref="M105" si="155">M104*26</f>
        <v>162714.23999999999</v>
      </c>
    </row>
    <row r="106" spans="1:13" s="134" customFormat="1" x14ac:dyDescent="0.2">
      <c r="A106" s="112"/>
      <c r="B106" s="112"/>
      <c r="C106" s="113" t="s">
        <v>66</v>
      </c>
      <c r="D106" s="136">
        <f>D100*$B$13*26</f>
        <v>125161.92</v>
      </c>
      <c r="E106" s="136">
        <f t="shared" ref="E106:M106" si="156">E100*$B$13*26</f>
        <v>129355.2</v>
      </c>
      <c r="F106" s="136">
        <f t="shared" si="156"/>
        <v>133511.03999999998</v>
      </c>
      <c r="G106" s="136">
        <f t="shared" si="156"/>
        <v>137704.32000000001</v>
      </c>
      <c r="H106" s="136">
        <f t="shared" si="156"/>
        <v>141860.16</v>
      </c>
      <c r="I106" s="136">
        <f t="shared" si="156"/>
        <v>146053.44</v>
      </c>
      <c r="J106" s="136">
        <f t="shared" si="156"/>
        <v>150209.28</v>
      </c>
      <c r="K106" s="136">
        <f t="shared" si="156"/>
        <v>154402.56</v>
      </c>
      <c r="L106" s="136">
        <f t="shared" si="156"/>
        <v>158558.40000000002</v>
      </c>
      <c r="M106" s="114">
        <f t="shared" si="156"/>
        <v>162714.23999999999</v>
      </c>
    </row>
    <row r="107" spans="1:13" x14ac:dyDescent="0.2">
      <c r="A107" s="98"/>
      <c r="B107" s="98"/>
      <c r="C107" s="128" t="s">
        <v>30</v>
      </c>
      <c r="D107" s="135">
        <f>'GS Pay Scale'!B20</f>
        <v>108885</v>
      </c>
      <c r="E107" s="135">
        <f>'GS Pay Scale'!C20</f>
        <v>112514</v>
      </c>
      <c r="F107" s="135">
        <f>'GS Pay Scale'!D20</f>
        <v>116144</v>
      </c>
      <c r="G107" s="135">
        <f>'GS Pay Scale'!E20</f>
        <v>119773</v>
      </c>
      <c r="H107" s="135">
        <f>'GS Pay Scale'!F20</f>
        <v>123402</v>
      </c>
      <c r="I107" s="135">
        <f>'GS Pay Scale'!G20</f>
        <v>127031</v>
      </c>
      <c r="J107" s="135">
        <f>'GS Pay Scale'!H20</f>
        <v>130661</v>
      </c>
      <c r="K107" s="135">
        <f>'GS Pay Scale'!I20</f>
        <v>134290</v>
      </c>
      <c r="L107" s="135">
        <f>'GS Pay Scale'!J20</f>
        <v>137919</v>
      </c>
      <c r="M107" s="135">
        <f>'GS Pay Scale'!K20</f>
        <v>141548</v>
      </c>
    </row>
    <row r="108" spans="1:13" x14ac:dyDescent="0.2">
      <c r="A108" s="98"/>
      <c r="B108" s="98">
        <v>106</v>
      </c>
      <c r="C108" s="107" t="s">
        <v>38</v>
      </c>
      <c r="D108" s="102">
        <f t="shared" ref="D108:M108" si="157">D109*106</f>
        <v>4188.0599999999995</v>
      </c>
      <c r="E108" s="102">
        <f t="shared" si="157"/>
        <v>4327.9799999999996</v>
      </c>
      <c r="F108" s="102">
        <f t="shared" si="157"/>
        <v>4466.84</v>
      </c>
      <c r="G108" s="102">
        <f t="shared" si="157"/>
        <v>4606.76</v>
      </c>
      <c r="H108" s="102">
        <f t="shared" si="157"/>
        <v>4746.68</v>
      </c>
      <c r="I108" s="102">
        <f t="shared" si="157"/>
        <v>4885.54</v>
      </c>
      <c r="J108" s="102">
        <f t="shared" si="157"/>
        <v>5025.46</v>
      </c>
      <c r="K108" s="102">
        <f t="shared" si="157"/>
        <v>5165.38</v>
      </c>
      <c r="L108" s="102">
        <f t="shared" si="157"/>
        <v>5304.24</v>
      </c>
      <c r="M108" s="102">
        <f t="shared" si="157"/>
        <v>5444.16</v>
      </c>
    </row>
    <row r="109" spans="1:13" x14ac:dyDescent="0.2">
      <c r="A109" s="98"/>
      <c r="B109" s="98"/>
      <c r="C109" s="107" t="s">
        <v>13</v>
      </c>
      <c r="D109" s="102">
        <f t="shared" ref="D109:M109" si="158">ROUND(D107/2756,2)</f>
        <v>39.51</v>
      </c>
      <c r="E109" s="102">
        <f t="shared" si="158"/>
        <v>40.83</v>
      </c>
      <c r="F109" s="102">
        <f t="shared" si="158"/>
        <v>42.14</v>
      </c>
      <c r="G109" s="102">
        <f t="shared" si="158"/>
        <v>43.46</v>
      </c>
      <c r="H109" s="102">
        <f t="shared" si="158"/>
        <v>44.78</v>
      </c>
      <c r="I109" s="102">
        <f t="shared" si="158"/>
        <v>46.09</v>
      </c>
      <c r="J109" s="102">
        <f t="shared" si="158"/>
        <v>47.41</v>
      </c>
      <c r="K109" s="102">
        <f t="shared" si="158"/>
        <v>48.73</v>
      </c>
      <c r="L109" s="102">
        <f t="shared" si="158"/>
        <v>50.04</v>
      </c>
      <c r="M109" s="102">
        <f t="shared" si="158"/>
        <v>51.36</v>
      </c>
    </row>
    <row r="110" spans="1:13" x14ac:dyDescent="0.2">
      <c r="A110" s="101"/>
      <c r="B110" s="106">
        <f>($G$3-53)*2</f>
        <v>38</v>
      </c>
      <c r="C110" s="107" t="s">
        <v>39</v>
      </c>
      <c r="D110" s="102">
        <f t="shared" ref="D110:M110" si="159">D111*$B$10</f>
        <v>1607.02</v>
      </c>
      <c r="E110" s="102">
        <f t="shared" si="159"/>
        <v>1607.02</v>
      </c>
      <c r="F110" s="102">
        <f t="shared" si="159"/>
        <v>1607.02</v>
      </c>
      <c r="G110" s="102">
        <f t="shared" si="159"/>
        <v>1651.48</v>
      </c>
      <c r="H110" s="102">
        <f t="shared" si="159"/>
        <v>1701.64</v>
      </c>
      <c r="I110" s="102">
        <f t="shared" si="159"/>
        <v>1751.42</v>
      </c>
      <c r="J110" s="102">
        <f t="shared" si="159"/>
        <v>1801.58</v>
      </c>
      <c r="K110" s="102">
        <f t="shared" si="159"/>
        <v>1851.7399999999998</v>
      </c>
      <c r="L110" s="102">
        <f t="shared" si="159"/>
        <v>1901.52</v>
      </c>
      <c r="M110" s="102">
        <f t="shared" si="159"/>
        <v>1951.68</v>
      </c>
    </row>
    <row r="111" spans="1:13" x14ac:dyDescent="0.2">
      <c r="A111" s="98" t="s">
        <v>101</v>
      </c>
      <c r="B111" s="98"/>
      <c r="C111" s="107" t="s">
        <v>14</v>
      </c>
      <c r="D111" s="102">
        <f t="shared" ref="D111:M111" si="160">IF(ROUND(D109*1.5,2)&lt;$G$122,ROUND(D109*1.5,2),IF($G$122&lt;D109,D109,$G$122))</f>
        <v>42.29</v>
      </c>
      <c r="E111" s="102">
        <f t="shared" si="160"/>
        <v>42.29</v>
      </c>
      <c r="F111" s="102">
        <f t="shared" si="160"/>
        <v>42.29</v>
      </c>
      <c r="G111" s="102">
        <f t="shared" si="160"/>
        <v>43.46</v>
      </c>
      <c r="H111" s="102">
        <f t="shared" si="160"/>
        <v>44.78</v>
      </c>
      <c r="I111" s="102">
        <f t="shared" si="160"/>
        <v>46.09</v>
      </c>
      <c r="J111" s="102">
        <f t="shared" si="160"/>
        <v>47.41</v>
      </c>
      <c r="K111" s="102">
        <f t="shared" si="160"/>
        <v>48.73</v>
      </c>
      <c r="L111" s="102">
        <f t="shared" si="160"/>
        <v>50.04</v>
      </c>
      <c r="M111" s="102">
        <f t="shared" si="160"/>
        <v>51.36</v>
      </c>
    </row>
    <row r="112" spans="1:13" s="84" customFormat="1" x14ac:dyDescent="0.2">
      <c r="A112" s="108"/>
      <c r="B112" s="108"/>
      <c r="C112" s="103" t="s">
        <v>43</v>
      </c>
      <c r="D112" s="102">
        <f>ROUND(D109*'Start Page'!$G$46,2)*$B$13</f>
        <v>0</v>
      </c>
      <c r="E112" s="102">
        <f>ROUND(E109*'Start Page'!$G$46,2)*$B$13</f>
        <v>0</v>
      </c>
      <c r="F112" s="102">
        <f>ROUND(F109*'Start Page'!$G$46,2)*$B$13</f>
        <v>0</v>
      </c>
      <c r="G112" s="102">
        <f>ROUND(G109*'Start Page'!$G$46,2)*$B$13</f>
        <v>0</v>
      </c>
      <c r="H112" s="102">
        <f>ROUND(H109*'Start Page'!$G$46,2)*$B$13</f>
        <v>0</v>
      </c>
      <c r="I112" s="102">
        <f>ROUND(I109*'Start Page'!$G$46,2)*$B$13</f>
        <v>0</v>
      </c>
      <c r="J112" s="102">
        <f>ROUND(J109*'Start Page'!$G$46,2)*$B$13</f>
        <v>0</v>
      </c>
      <c r="K112" s="102">
        <f>ROUND(K109*'Start Page'!$G$46,2)*$B$13</f>
        <v>0</v>
      </c>
      <c r="L112" s="102">
        <f>ROUND(L109*'Start Page'!$G$46,2)*$B$13</f>
        <v>0</v>
      </c>
      <c r="M112" s="102">
        <f>ROUND(M109*'Start Page'!$G$46,2)*$B$13</f>
        <v>0</v>
      </c>
    </row>
    <row r="113" spans="1:13" x14ac:dyDescent="0.2">
      <c r="A113" s="98"/>
      <c r="B113" s="98">
        <f>B108+B110</f>
        <v>144</v>
      </c>
      <c r="C113" s="115" t="s">
        <v>17</v>
      </c>
      <c r="D113" s="111">
        <f t="shared" ref="D113:M113" si="161">D108+D110+D112</f>
        <v>5795.08</v>
      </c>
      <c r="E113" s="111">
        <f t="shared" si="161"/>
        <v>5935</v>
      </c>
      <c r="F113" s="111">
        <f t="shared" si="161"/>
        <v>6073.8600000000006</v>
      </c>
      <c r="G113" s="111">
        <f t="shared" si="161"/>
        <v>6258.24</v>
      </c>
      <c r="H113" s="111">
        <f t="shared" si="161"/>
        <v>6448.3200000000006</v>
      </c>
      <c r="I113" s="111">
        <f t="shared" si="161"/>
        <v>6636.96</v>
      </c>
      <c r="J113" s="111">
        <f t="shared" si="161"/>
        <v>6827.04</v>
      </c>
      <c r="K113" s="111">
        <f t="shared" si="161"/>
        <v>7017.12</v>
      </c>
      <c r="L113" s="111">
        <f t="shared" si="161"/>
        <v>7205.76</v>
      </c>
      <c r="M113" s="111">
        <f t="shared" si="161"/>
        <v>7395.84</v>
      </c>
    </row>
    <row r="114" spans="1:13" x14ac:dyDescent="0.2">
      <c r="A114" s="98"/>
      <c r="B114" s="98"/>
      <c r="C114" s="115" t="s">
        <v>33</v>
      </c>
      <c r="D114" s="111">
        <f>D113*26</f>
        <v>150672.07999999999</v>
      </c>
      <c r="E114" s="111">
        <f t="shared" ref="E114" si="162">E113*26</f>
        <v>154310</v>
      </c>
      <c r="F114" s="111">
        <f t="shared" ref="F114" si="163">F113*26</f>
        <v>157920.36000000002</v>
      </c>
      <c r="G114" s="111">
        <f t="shared" ref="G114" si="164">G113*26</f>
        <v>162714.23999999999</v>
      </c>
      <c r="H114" s="111">
        <f t="shared" ref="H114" si="165">H113*26</f>
        <v>167656.32000000001</v>
      </c>
      <c r="I114" s="111">
        <f t="shared" ref="I114" si="166">I113*26</f>
        <v>172560.96</v>
      </c>
      <c r="J114" s="111">
        <f t="shared" ref="J114" si="167">J113*26</f>
        <v>177503.04</v>
      </c>
      <c r="K114" s="111">
        <f t="shared" ref="K114" si="168">K113*26</f>
        <v>182445.12</v>
      </c>
      <c r="L114" s="111">
        <f t="shared" ref="L114" si="169">L113*26</f>
        <v>187349.76000000001</v>
      </c>
      <c r="M114" s="111">
        <f t="shared" ref="M114" si="170">M113*26</f>
        <v>192291.84</v>
      </c>
    </row>
    <row r="115" spans="1:13" s="134" customFormat="1" x14ac:dyDescent="0.2">
      <c r="A115" s="112"/>
      <c r="B115" s="112"/>
      <c r="C115" s="113" t="s">
        <v>66</v>
      </c>
      <c r="D115" s="136">
        <f>D109*$B$13*26</f>
        <v>147925.44</v>
      </c>
      <c r="E115" s="136">
        <f t="shared" ref="E115:M115" si="171">E109*$B$13*26</f>
        <v>152867.51999999999</v>
      </c>
      <c r="F115" s="136">
        <f t="shared" si="171"/>
        <v>157772.16</v>
      </c>
      <c r="G115" s="136">
        <f t="shared" si="171"/>
        <v>162714.23999999999</v>
      </c>
      <c r="H115" s="136">
        <f t="shared" si="171"/>
        <v>167656.32000000001</v>
      </c>
      <c r="I115" s="136">
        <f t="shared" si="171"/>
        <v>172560.96000000002</v>
      </c>
      <c r="J115" s="136">
        <f t="shared" si="171"/>
        <v>177503.03999999998</v>
      </c>
      <c r="K115" s="136">
        <f t="shared" si="171"/>
        <v>182445.12</v>
      </c>
      <c r="L115" s="136">
        <f t="shared" si="171"/>
        <v>187349.76000000001</v>
      </c>
      <c r="M115" s="114">
        <f t="shared" si="171"/>
        <v>192291.84</v>
      </c>
    </row>
    <row r="116" spans="1:13" x14ac:dyDescent="0.2">
      <c r="A116" s="93" t="s">
        <v>102</v>
      </c>
      <c r="B116" s="93"/>
    </row>
    <row r="117" spans="1:13" x14ac:dyDescent="0.2">
      <c r="A117" s="93" t="s">
        <v>67</v>
      </c>
      <c r="B117" s="93"/>
    </row>
    <row r="118" spans="1:13" x14ac:dyDescent="0.2">
      <c r="A118" s="93"/>
      <c r="B118" s="93"/>
    </row>
    <row r="119" spans="1:13" x14ac:dyDescent="0.2">
      <c r="A119" s="93" t="s">
        <v>68</v>
      </c>
      <c r="B119" s="93"/>
    </row>
    <row r="120" spans="1:13" x14ac:dyDescent="0.2">
      <c r="A120" s="93" t="s">
        <v>69</v>
      </c>
      <c r="B120" s="93"/>
      <c r="G120" s="137"/>
    </row>
    <row r="121" spans="1:13" x14ac:dyDescent="0.2">
      <c r="A121" s="93" t="s">
        <v>19</v>
      </c>
    </row>
    <row r="122" spans="1:13" x14ac:dyDescent="0.2">
      <c r="A122" s="93" t="s">
        <v>32</v>
      </c>
      <c r="B122" s="93"/>
      <c r="G122" s="137">
        <f>ROUND(ROUND(D71/2087,2)*1.5,2)</f>
        <v>42.29</v>
      </c>
      <c r="H122" s="93"/>
    </row>
    <row r="124" spans="1:13" x14ac:dyDescent="0.2">
      <c r="A124" s="93" t="s">
        <v>35</v>
      </c>
      <c r="B124" s="93"/>
    </row>
  </sheetData>
  <sheetProtection algorithmName="SHA-512" hashValue="E7qlsMuSuywtm1QjM8t8EXoC7lWGu9eEiSJ54hPsZ5VpQ6IPNVZIs6y6g+WXQ7cCzRUxt9KR49i/uXqoVTwA3w==" saltValue="NvD8WmllUPr3qFzRBd/tfA==" spinCount="100000" sheet="1" objects="1" scenarios="1"/>
  <mergeCells count="4">
    <mergeCell ref="F4:I4"/>
    <mergeCell ref="G5:H5"/>
    <mergeCell ref="A1:M1"/>
    <mergeCell ref="A2:M2"/>
  </mergeCells>
  <phoneticPr fontId="0" type="noConversion"/>
  <hyperlinks>
    <hyperlink ref="G5:H5" location="'Start Page'!G2" display="Return to Start Page" xr:uid="{00000000-0004-0000-0600-000000000000}"/>
  </hyperlinks>
  <printOptions horizontalCentered="1" verticalCentered="1"/>
  <pageMargins left="0.5" right="0.5" top="0.5" bottom="0.5" header="0.5" footer="0.5"/>
  <pageSetup scale="68" fitToHeight="2" orientation="landscape" horizontalDpi="4294967294" verticalDpi="300" r:id="rId1"/>
  <headerFooter alignWithMargins="0"/>
  <rowBreaks count="1" manualBreakCount="1">
    <brk id="60" max="16383" man="1"/>
  </rowBreaks>
  <legacyDrawing r:id="rId2"/>
  <picture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51"/>
  <sheetViews>
    <sheetView showGridLines="0" zoomScaleNormal="100" workbookViewId="0">
      <pane xSplit="3" ySplit="6" topLeftCell="D7" activePane="bottomRight" state="frozen"/>
      <selection pane="topRight" activeCell="D1" sqref="D1"/>
      <selection pane="bottomLeft" activeCell="A7" sqref="A7"/>
      <selection pane="bottomRight" activeCell="G5" sqref="G5:H5"/>
    </sheetView>
  </sheetViews>
  <sheetFormatPr defaultRowHeight="12.75" x14ac:dyDescent="0.2"/>
  <cols>
    <col min="1" max="1" width="7.140625" style="109" customWidth="1"/>
    <col min="2" max="2" width="7.140625" style="84" customWidth="1"/>
    <col min="3" max="3" width="13.5703125" style="84" customWidth="1"/>
    <col min="4" max="13" width="12.7109375" style="84" customWidth="1"/>
    <col min="14" max="16384" width="9.140625" style="84"/>
  </cols>
  <sheetData>
    <row r="1" spans="1:13" s="81" customFormat="1" ht="25.5" customHeight="1" x14ac:dyDescent="0.4">
      <c r="A1" s="177" t="str">
        <f>'Start Page'!$C$62&amp;" Federal Firefighter Pay Chart"</f>
        <v>2021 Federal Firefighter Pay Chart</v>
      </c>
      <c r="B1" s="177"/>
      <c r="C1" s="177"/>
      <c r="D1" s="177"/>
      <c r="E1" s="177"/>
      <c r="F1" s="177"/>
      <c r="G1" s="177"/>
      <c r="H1" s="177"/>
      <c r="I1" s="177"/>
      <c r="J1" s="177"/>
      <c r="K1" s="177"/>
      <c r="L1" s="177"/>
      <c r="M1" s="177"/>
    </row>
    <row r="2" spans="1:13" s="81" customFormat="1" ht="25.5" customHeight="1" x14ac:dyDescent="0.3">
      <c r="A2" s="173" t="str">
        <f>"Locality/COLA Area: "&amp;'Start Page'!C44</f>
        <v>Locality/COLA Area: Rest of the United States</v>
      </c>
      <c r="B2" s="173"/>
      <c r="C2" s="173"/>
      <c r="D2" s="173"/>
      <c r="E2" s="173"/>
      <c r="F2" s="173"/>
      <c r="G2" s="173"/>
      <c r="H2" s="173"/>
      <c r="I2" s="173"/>
      <c r="J2" s="173"/>
      <c r="K2" s="173"/>
      <c r="L2" s="173"/>
      <c r="M2" s="173"/>
    </row>
    <row r="3" spans="1:13" s="81" customFormat="1" ht="25.5" customHeight="1" x14ac:dyDescent="0.4">
      <c r="G3" s="125">
        <f>'Start Page'!D31</f>
        <v>60</v>
      </c>
      <c r="H3" s="126" t="s">
        <v>37</v>
      </c>
    </row>
    <row r="4" spans="1:13" s="81" customFormat="1" ht="12.75" customHeight="1" x14ac:dyDescent="0.2">
      <c r="F4" s="179" t="str">
        <f>IF('Start Page'!$C$62='GS Pay Calculator'!B2,"","Warning! These pay figures are now estimates only!")</f>
        <v/>
      </c>
      <c r="G4" s="179"/>
      <c r="H4" s="179"/>
      <c r="I4" s="179"/>
    </row>
    <row r="5" spans="1:13" s="81" customFormat="1" ht="12.75" customHeight="1" x14ac:dyDescent="0.2">
      <c r="G5" s="174" t="s">
        <v>82</v>
      </c>
      <c r="H5" s="174"/>
    </row>
    <row r="6" spans="1:13" x14ac:dyDescent="0.2">
      <c r="A6" s="96" t="s">
        <v>0</v>
      </c>
      <c r="B6" s="96" t="s">
        <v>40</v>
      </c>
      <c r="C6" s="96" t="s">
        <v>1</v>
      </c>
      <c r="D6" s="96" t="s">
        <v>2</v>
      </c>
      <c r="E6" s="96" t="s">
        <v>3</v>
      </c>
      <c r="F6" s="96" t="s">
        <v>4</v>
      </c>
      <c r="G6" s="96" t="s">
        <v>5</v>
      </c>
      <c r="H6" s="96" t="s">
        <v>6</v>
      </c>
      <c r="I6" s="96" t="s">
        <v>7</v>
      </c>
      <c r="J6" s="96" t="s">
        <v>8</v>
      </c>
      <c r="K6" s="96" t="s">
        <v>9</v>
      </c>
      <c r="L6" s="96" t="s">
        <v>10</v>
      </c>
      <c r="M6" s="96" t="s">
        <v>11</v>
      </c>
    </row>
    <row r="7" spans="1:13" x14ac:dyDescent="0.2">
      <c r="A7" s="98"/>
      <c r="B7" s="98"/>
      <c r="C7" s="107" t="s">
        <v>30</v>
      </c>
      <c r="D7" s="104">
        <f>'GS Pay Scale'!B9</f>
        <v>28078</v>
      </c>
      <c r="E7" s="104">
        <f>'GS Pay Scale'!C9</f>
        <v>29014</v>
      </c>
      <c r="F7" s="104">
        <f>'GS Pay Scale'!D9</f>
        <v>29950</v>
      </c>
      <c r="G7" s="104">
        <f>'GS Pay Scale'!E9</f>
        <v>30886</v>
      </c>
      <c r="H7" s="104">
        <f>'GS Pay Scale'!F9</f>
        <v>31821</v>
      </c>
      <c r="I7" s="104">
        <f>'GS Pay Scale'!G9</f>
        <v>32757</v>
      </c>
      <c r="J7" s="104">
        <f>'GS Pay Scale'!H9</f>
        <v>33693</v>
      </c>
      <c r="K7" s="104">
        <f>'GS Pay Scale'!I9</f>
        <v>34628</v>
      </c>
      <c r="L7" s="104">
        <f>'GS Pay Scale'!J9</f>
        <v>35564</v>
      </c>
      <c r="M7" s="104">
        <f>'GS Pay Scale'!K9</f>
        <v>36500</v>
      </c>
    </row>
    <row r="8" spans="1:13" x14ac:dyDescent="0.2">
      <c r="A8" s="98"/>
      <c r="B8" s="98">
        <v>80</v>
      </c>
      <c r="C8" s="103" t="s">
        <v>41</v>
      </c>
      <c r="D8" s="104">
        <f>D9*80</f>
        <v>1076</v>
      </c>
      <c r="E8" s="104">
        <f t="shared" ref="E8:M8" si="0">E9*80</f>
        <v>1112</v>
      </c>
      <c r="F8" s="104">
        <f t="shared" si="0"/>
        <v>1148</v>
      </c>
      <c r="G8" s="104">
        <f t="shared" si="0"/>
        <v>1184</v>
      </c>
      <c r="H8" s="104">
        <f t="shared" si="0"/>
        <v>1220</v>
      </c>
      <c r="I8" s="104">
        <f t="shared" si="0"/>
        <v>1256</v>
      </c>
      <c r="J8" s="104">
        <f t="shared" si="0"/>
        <v>1291.2</v>
      </c>
      <c r="K8" s="104">
        <f t="shared" si="0"/>
        <v>1327.2</v>
      </c>
      <c r="L8" s="104">
        <f t="shared" si="0"/>
        <v>1363.1999999999998</v>
      </c>
      <c r="M8" s="104">
        <f t="shared" si="0"/>
        <v>1399.1999999999998</v>
      </c>
    </row>
    <row r="9" spans="1:13" x14ac:dyDescent="0.2">
      <c r="A9" s="98"/>
      <c r="B9" s="98"/>
      <c r="C9" s="103" t="s">
        <v>20</v>
      </c>
      <c r="D9" s="105">
        <f>ROUND(D7/2087,2)</f>
        <v>13.45</v>
      </c>
      <c r="E9" s="105">
        <f t="shared" ref="E9:M9" si="1">ROUND(E7/2087,2)</f>
        <v>13.9</v>
      </c>
      <c r="F9" s="105">
        <f t="shared" si="1"/>
        <v>14.35</v>
      </c>
      <c r="G9" s="105">
        <f t="shared" si="1"/>
        <v>14.8</v>
      </c>
      <c r="H9" s="105">
        <f t="shared" si="1"/>
        <v>15.25</v>
      </c>
      <c r="I9" s="105">
        <f t="shared" si="1"/>
        <v>15.7</v>
      </c>
      <c r="J9" s="105">
        <f t="shared" si="1"/>
        <v>16.14</v>
      </c>
      <c r="K9" s="105">
        <f t="shared" si="1"/>
        <v>16.59</v>
      </c>
      <c r="L9" s="105">
        <f t="shared" si="1"/>
        <v>17.04</v>
      </c>
      <c r="M9" s="105">
        <f t="shared" si="1"/>
        <v>17.489999999999998</v>
      </c>
    </row>
    <row r="10" spans="1:13" x14ac:dyDescent="0.2">
      <c r="A10" s="98"/>
      <c r="B10" s="98">
        <v>26</v>
      </c>
      <c r="C10" s="107" t="s">
        <v>38</v>
      </c>
      <c r="D10" s="105">
        <f>D11*26</f>
        <v>264.94</v>
      </c>
      <c r="E10" s="105">
        <f t="shared" ref="E10:M10" si="2">E11*26</f>
        <v>273.77999999999997</v>
      </c>
      <c r="F10" s="105">
        <f t="shared" si="2"/>
        <v>282.62</v>
      </c>
      <c r="G10" s="105">
        <f t="shared" si="2"/>
        <v>291.46000000000004</v>
      </c>
      <c r="H10" s="105">
        <f t="shared" si="2"/>
        <v>300.3</v>
      </c>
      <c r="I10" s="105">
        <f t="shared" si="2"/>
        <v>309.14</v>
      </c>
      <c r="J10" s="105">
        <f t="shared" si="2"/>
        <v>317.98</v>
      </c>
      <c r="K10" s="105">
        <f t="shared" si="2"/>
        <v>326.56</v>
      </c>
      <c r="L10" s="105">
        <f t="shared" si="2"/>
        <v>335.40000000000003</v>
      </c>
      <c r="M10" s="105">
        <f t="shared" si="2"/>
        <v>344.24</v>
      </c>
    </row>
    <row r="11" spans="1:13" x14ac:dyDescent="0.2">
      <c r="A11" s="98"/>
      <c r="B11" s="98"/>
      <c r="C11" s="107" t="s">
        <v>13</v>
      </c>
      <c r="D11" s="105">
        <f>ROUND(D7/2756,2)</f>
        <v>10.19</v>
      </c>
      <c r="E11" s="105">
        <f t="shared" ref="E11:M11" si="3">ROUND(E7/2756,2)</f>
        <v>10.53</v>
      </c>
      <c r="F11" s="105">
        <f t="shared" si="3"/>
        <v>10.87</v>
      </c>
      <c r="G11" s="105">
        <f t="shared" si="3"/>
        <v>11.21</v>
      </c>
      <c r="H11" s="105">
        <f t="shared" si="3"/>
        <v>11.55</v>
      </c>
      <c r="I11" s="105">
        <f t="shared" si="3"/>
        <v>11.89</v>
      </c>
      <c r="J11" s="105">
        <f t="shared" si="3"/>
        <v>12.23</v>
      </c>
      <c r="K11" s="105">
        <f t="shared" si="3"/>
        <v>12.56</v>
      </c>
      <c r="L11" s="105">
        <f t="shared" si="3"/>
        <v>12.9</v>
      </c>
      <c r="M11" s="105">
        <f t="shared" si="3"/>
        <v>13.24</v>
      </c>
    </row>
    <row r="12" spans="1:13" x14ac:dyDescent="0.2">
      <c r="A12" s="98" t="s">
        <v>22</v>
      </c>
      <c r="B12" s="106">
        <f>($G$3-53)*2</f>
        <v>14</v>
      </c>
      <c r="C12" s="107" t="s">
        <v>39</v>
      </c>
      <c r="D12" s="105">
        <f>D13*$B$12</f>
        <v>214.06</v>
      </c>
      <c r="E12" s="105">
        <f t="shared" ref="E12:M12" si="4">E13*$B$12</f>
        <v>221.20000000000002</v>
      </c>
      <c r="F12" s="105">
        <f t="shared" si="4"/>
        <v>228.33999999999997</v>
      </c>
      <c r="G12" s="105">
        <f t="shared" si="4"/>
        <v>235.48000000000002</v>
      </c>
      <c r="H12" s="105">
        <f t="shared" si="4"/>
        <v>242.61999999999998</v>
      </c>
      <c r="I12" s="105">
        <f t="shared" si="4"/>
        <v>249.76</v>
      </c>
      <c r="J12" s="105">
        <f t="shared" si="4"/>
        <v>256.90000000000003</v>
      </c>
      <c r="K12" s="105">
        <f t="shared" si="4"/>
        <v>263.76</v>
      </c>
      <c r="L12" s="105">
        <f t="shared" si="4"/>
        <v>270.90000000000003</v>
      </c>
      <c r="M12" s="105">
        <f t="shared" si="4"/>
        <v>278.03999999999996</v>
      </c>
    </row>
    <row r="13" spans="1:13" x14ac:dyDescent="0.2">
      <c r="A13" s="98"/>
      <c r="B13" s="98"/>
      <c r="C13" s="107" t="s">
        <v>14</v>
      </c>
      <c r="D13" s="102">
        <f>IF(ROUND(D11*1.5,2)&lt;$G$149,ROUND(D11*1.5,2),IF($G$149&lt;D11,D11,$G$149))</f>
        <v>15.29</v>
      </c>
      <c r="E13" s="102">
        <f t="shared" ref="E13:M13" si="5">IF(ROUND(E11*1.5,2)&lt;$G$149,ROUND(E11*1.5,2),IF($G$149&lt;E11,E11,$G$149))</f>
        <v>15.8</v>
      </c>
      <c r="F13" s="102">
        <f t="shared" si="5"/>
        <v>16.309999999999999</v>
      </c>
      <c r="G13" s="102">
        <f t="shared" si="5"/>
        <v>16.82</v>
      </c>
      <c r="H13" s="102">
        <f t="shared" si="5"/>
        <v>17.329999999999998</v>
      </c>
      <c r="I13" s="102">
        <f t="shared" si="5"/>
        <v>17.84</v>
      </c>
      <c r="J13" s="102">
        <f t="shared" si="5"/>
        <v>18.350000000000001</v>
      </c>
      <c r="K13" s="102">
        <f t="shared" si="5"/>
        <v>18.84</v>
      </c>
      <c r="L13" s="102">
        <f t="shared" si="5"/>
        <v>19.350000000000001</v>
      </c>
      <c r="M13" s="102">
        <f t="shared" si="5"/>
        <v>19.86</v>
      </c>
    </row>
    <row r="14" spans="1:13" x14ac:dyDescent="0.2">
      <c r="A14" s="108"/>
      <c r="B14" s="108"/>
      <c r="C14" s="103" t="s">
        <v>43</v>
      </c>
      <c r="D14" s="102">
        <f>(ROUND(D9*'Start Page'!$G$46,2)*80)+(ROUND(D11*'Start Page'!$G$46,2)*($B$15-80))</f>
        <v>0</v>
      </c>
      <c r="E14" s="102">
        <f>(ROUND(E9*'Start Page'!$G$46,2)*80)+(ROUND(E11*'Start Page'!$G$46,2)*($B$15-80))</f>
        <v>0</v>
      </c>
      <c r="F14" s="102">
        <f>(ROUND(F9*'Start Page'!$G$46,2)*80)+(ROUND(F11*'Start Page'!$G$46,2)*($B$15-80))</f>
        <v>0</v>
      </c>
      <c r="G14" s="102">
        <f>(ROUND(G9*'Start Page'!$G$46,2)*80)+(ROUND(G11*'Start Page'!$G$46,2)*($B$15-80))</f>
        <v>0</v>
      </c>
      <c r="H14" s="102">
        <f>(ROUND(H9*'Start Page'!$G$46,2)*80)+(ROUND(H11*'Start Page'!$G$46,2)*($B$15-80))</f>
        <v>0</v>
      </c>
      <c r="I14" s="102">
        <f>(ROUND(I9*'Start Page'!$G$46,2)*80)+(ROUND(I11*'Start Page'!$G$46,2)*($B$15-80))</f>
        <v>0</v>
      </c>
      <c r="J14" s="102">
        <f>(ROUND(J9*'Start Page'!$G$46,2)*80)+(ROUND(J11*'Start Page'!$G$46,2)*($B$15-80))</f>
        <v>0</v>
      </c>
      <c r="K14" s="102">
        <f>(ROUND(K9*'Start Page'!$G$46,2)*80)+(ROUND(K11*'Start Page'!$G$46,2)*($B$15-80))</f>
        <v>0</v>
      </c>
      <c r="L14" s="102">
        <f>(ROUND(L9*'Start Page'!$G$46,2)*80)+(ROUND(L11*'Start Page'!$G$46,2)*($B$15-80))</f>
        <v>0</v>
      </c>
      <c r="M14" s="102">
        <f>(ROUND(M9*'Start Page'!$G$46,2)*80)+(ROUND(M11*'Start Page'!$G$46,2)*($B$15-80))</f>
        <v>0</v>
      </c>
    </row>
    <row r="15" spans="1:13" x14ac:dyDescent="0.2">
      <c r="A15" s="98"/>
      <c r="B15" s="98">
        <f>B8+B10+B12</f>
        <v>120</v>
      </c>
      <c r="C15" s="115" t="s">
        <v>17</v>
      </c>
      <c r="D15" s="138">
        <f>D8+D10+D12+D14</f>
        <v>1555</v>
      </c>
      <c r="E15" s="138">
        <f t="shared" ref="E15:M15" si="6">E8+E10+E12+E14</f>
        <v>1606.98</v>
      </c>
      <c r="F15" s="138">
        <f t="shared" si="6"/>
        <v>1658.9599999999998</v>
      </c>
      <c r="G15" s="138">
        <f t="shared" si="6"/>
        <v>1710.94</v>
      </c>
      <c r="H15" s="138">
        <f t="shared" si="6"/>
        <v>1762.9199999999998</v>
      </c>
      <c r="I15" s="138">
        <f t="shared" si="6"/>
        <v>1814.8999999999999</v>
      </c>
      <c r="J15" s="138">
        <f t="shared" si="6"/>
        <v>1866.0800000000002</v>
      </c>
      <c r="K15" s="138">
        <f t="shared" si="6"/>
        <v>1917.52</v>
      </c>
      <c r="L15" s="138">
        <f t="shared" si="6"/>
        <v>1969.5</v>
      </c>
      <c r="M15" s="138">
        <f t="shared" si="6"/>
        <v>2021.4799999999998</v>
      </c>
    </row>
    <row r="16" spans="1:13" x14ac:dyDescent="0.2">
      <c r="A16" s="98"/>
      <c r="B16" s="98"/>
      <c r="C16" s="115" t="s">
        <v>33</v>
      </c>
      <c r="D16" s="138">
        <f>D15*26</f>
        <v>40430</v>
      </c>
      <c r="E16" s="138">
        <f t="shared" ref="E16:M16" si="7">E15*26</f>
        <v>41781.480000000003</v>
      </c>
      <c r="F16" s="138">
        <f t="shared" si="7"/>
        <v>43132.959999999992</v>
      </c>
      <c r="G16" s="138">
        <f t="shared" si="7"/>
        <v>44484.44</v>
      </c>
      <c r="H16" s="138">
        <f t="shared" si="7"/>
        <v>45835.92</v>
      </c>
      <c r="I16" s="138">
        <f t="shared" si="7"/>
        <v>47187.399999999994</v>
      </c>
      <c r="J16" s="138">
        <f t="shared" si="7"/>
        <v>48518.080000000002</v>
      </c>
      <c r="K16" s="138">
        <f t="shared" si="7"/>
        <v>49855.519999999997</v>
      </c>
      <c r="L16" s="138">
        <f t="shared" si="7"/>
        <v>51207</v>
      </c>
      <c r="M16" s="138">
        <f t="shared" si="7"/>
        <v>52558.479999999996</v>
      </c>
    </row>
    <row r="17" spans="1:13" s="134" customFormat="1" x14ac:dyDescent="0.2">
      <c r="A17" s="112"/>
      <c r="B17" s="112"/>
      <c r="C17" s="113" t="s">
        <v>66</v>
      </c>
      <c r="D17" s="139">
        <f>((D9*80)+(D11*($B$15-80)))*26</f>
        <v>38573.599999999999</v>
      </c>
      <c r="E17" s="139">
        <f t="shared" ref="E17:M17" si="8">((E9*80)+(E11*($B$15-80)))*26</f>
        <v>39863.200000000004</v>
      </c>
      <c r="F17" s="139">
        <f t="shared" si="8"/>
        <v>41152.799999999996</v>
      </c>
      <c r="G17" s="139">
        <f t="shared" si="8"/>
        <v>42442.400000000001</v>
      </c>
      <c r="H17" s="139">
        <f t="shared" si="8"/>
        <v>43732</v>
      </c>
      <c r="I17" s="139">
        <f t="shared" si="8"/>
        <v>45021.599999999999</v>
      </c>
      <c r="J17" s="139">
        <f t="shared" si="8"/>
        <v>46290.400000000001</v>
      </c>
      <c r="K17" s="139">
        <f t="shared" si="8"/>
        <v>47569.600000000006</v>
      </c>
      <c r="L17" s="139">
        <f t="shared" si="8"/>
        <v>48859.199999999997</v>
      </c>
      <c r="M17" s="116">
        <f t="shared" si="8"/>
        <v>50148.799999999996</v>
      </c>
    </row>
    <row r="18" spans="1:13" x14ac:dyDescent="0.2">
      <c r="A18" s="98"/>
      <c r="B18" s="97"/>
      <c r="C18" s="128" t="s">
        <v>30</v>
      </c>
      <c r="D18" s="140">
        <f>'GS Pay Scale'!B10</f>
        <v>31520</v>
      </c>
      <c r="E18" s="140">
        <f>'GS Pay Scale'!C10</f>
        <v>32570</v>
      </c>
      <c r="F18" s="140">
        <f>'GS Pay Scale'!D10</f>
        <v>33621</v>
      </c>
      <c r="G18" s="140">
        <f>'GS Pay Scale'!E10</f>
        <v>34671</v>
      </c>
      <c r="H18" s="140">
        <f>'GS Pay Scale'!F10</f>
        <v>35722</v>
      </c>
      <c r="I18" s="140">
        <f>'GS Pay Scale'!G10</f>
        <v>36772</v>
      </c>
      <c r="J18" s="140">
        <f>'GS Pay Scale'!H10</f>
        <v>37823</v>
      </c>
      <c r="K18" s="140">
        <f>'GS Pay Scale'!I10</f>
        <v>38873</v>
      </c>
      <c r="L18" s="140">
        <f>'GS Pay Scale'!J10</f>
        <v>39924</v>
      </c>
      <c r="M18" s="140">
        <f>'GS Pay Scale'!K10</f>
        <v>40974</v>
      </c>
    </row>
    <row r="19" spans="1:13" x14ac:dyDescent="0.2">
      <c r="A19" s="98"/>
      <c r="B19" s="98">
        <v>80</v>
      </c>
      <c r="C19" s="103" t="s">
        <v>41</v>
      </c>
      <c r="D19" s="104">
        <f t="shared" ref="D19:M19" si="9">D20*80</f>
        <v>1208</v>
      </c>
      <c r="E19" s="104">
        <f t="shared" si="9"/>
        <v>1248.8</v>
      </c>
      <c r="F19" s="104">
        <f t="shared" si="9"/>
        <v>1288.8</v>
      </c>
      <c r="G19" s="104">
        <f t="shared" si="9"/>
        <v>1328.8</v>
      </c>
      <c r="H19" s="104">
        <f t="shared" si="9"/>
        <v>1369.6000000000001</v>
      </c>
      <c r="I19" s="104">
        <f t="shared" si="9"/>
        <v>1409.6000000000001</v>
      </c>
      <c r="J19" s="104">
        <f t="shared" si="9"/>
        <v>1449.6000000000001</v>
      </c>
      <c r="K19" s="104">
        <f t="shared" si="9"/>
        <v>1490.3999999999999</v>
      </c>
      <c r="L19" s="104">
        <f t="shared" si="9"/>
        <v>1530.3999999999999</v>
      </c>
      <c r="M19" s="104">
        <f t="shared" si="9"/>
        <v>1570.3999999999999</v>
      </c>
    </row>
    <row r="20" spans="1:13" x14ac:dyDescent="0.2">
      <c r="A20" s="98"/>
      <c r="B20" s="98"/>
      <c r="C20" s="103" t="s">
        <v>20</v>
      </c>
      <c r="D20" s="105">
        <f t="shared" ref="D20:M20" si="10">ROUND(D18/2087,2)</f>
        <v>15.1</v>
      </c>
      <c r="E20" s="105">
        <f t="shared" si="10"/>
        <v>15.61</v>
      </c>
      <c r="F20" s="105">
        <f t="shared" si="10"/>
        <v>16.11</v>
      </c>
      <c r="G20" s="105">
        <f t="shared" si="10"/>
        <v>16.61</v>
      </c>
      <c r="H20" s="105">
        <f t="shared" si="10"/>
        <v>17.12</v>
      </c>
      <c r="I20" s="105">
        <f t="shared" si="10"/>
        <v>17.62</v>
      </c>
      <c r="J20" s="105">
        <f t="shared" si="10"/>
        <v>18.12</v>
      </c>
      <c r="K20" s="105">
        <f t="shared" si="10"/>
        <v>18.63</v>
      </c>
      <c r="L20" s="105">
        <f t="shared" si="10"/>
        <v>19.13</v>
      </c>
      <c r="M20" s="105">
        <f t="shared" si="10"/>
        <v>19.63</v>
      </c>
    </row>
    <row r="21" spans="1:13" x14ac:dyDescent="0.2">
      <c r="A21" s="98"/>
      <c r="B21" s="98">
        <v>26</v>
      </c>
      <c r="C21" s="107" t="s">
        <v>38</v>
      </c>
      <c r="D21" s="105">
        <f t="shared" ref="D21:M21" si="11">D22*26</f>
        <v>297.44</v>
      </c>
      <c r="E21" s="105">
        <f t="shared" si="11"/>
        <v>307.32</v>
      </c>
      <c r="F21" s="105">
        <f t="shared" si="11"/>
        <v>317.2</v>
      </c>
      <c r="G21" s="105">
        <f t="shared" si="11"/>
        <v>327.08</v>
      </c>
      <c r="H21" s="105">
        <f t="shared" si="11"/>
        <v>336.96000000000004</v>
      </c>
      <c r="I21" s="105">
        <f t="shared" si="11"/>
        <v>346.84</v>
      </c>
      <c r="J21" s="105">
        <f t="shared" si="11"/>
        <v>356.72</v>
      </c>
      <c r="K21" s="105">
        <f t="shared" si="11"/>
        <v>366.59999999999997</v>
      </c>
      <c r="L21" s="105">
        <f t="shared" si="11"/>
        <v>376.74</v>
      </c>
      <c r="M21" s="105">
        <f t="shared" si="11"/>
        <v>386.62</v>
      </c>
    </row>
    <row r="22" spans="1:13" x14ac:dyDescent="0.2">
      <c r="A22" s="98"/>
      <c r="B22" s="98"/>
      <c r="C22" s="107" t="s">
        <v>13</v>
      </c>
      <c r="D22" s="105">
        <f t="shared" ref="D22:M22" si="12">ROUND(D18/2756,2)</f>
        <v>11.44</v>
      </c>
      <c r="E22" s="105">
        <f t="shared" si="12"/>
        <v>11.82</v>
      </c>
      <c r="F22" s="105">
        <f t="shared" si="12"/>
        <v>12.2</v>
      </c>
      <c r="G22" s="105">
        <f t="shared" si="12"/>
        <v>12.58</v>
      </c>
      <c r="H22" s="105">
        <f t="shared" si="12"/>
        <v>12.96</v>
      </c>
      <c r="I22" s="105">
        <f t="shared" si="12"/>
        <v>13.34</v>
      </c>
      <c r="J22" s="105">
        <f t="shared" si="12"/>
        <v>13.72</v>
      </c>
      <c r="K22" s="105">
        <f t="shared" si="12"/>
        <v>14.1</v>
      </c>
      <c r="L22" s="105">
        <f t="shared" si="12"/>
        <v>14.49</v>
      </c>
      <c r="M22" s="105">
        <f t="shared" si="12"/>
        <v>14.87</v>
      </c>
    </row>
    <row r="23" spans="1:13" x14ac:dyDescent="0.2">
      <c r="A23" s="98" t="s">
        <v>23</v>
      </c>
      <c r="B23" s="106">
        <f>($G$3-53)*2</f>
        <v>14</v>
      </c>
      <c r="C23" s="107" t="s">
        <v>39</v>
      </c>
      <c r="D23" s="105">
        <f t="shared" ref="D23:M23" si="13">D24*$B$12</f>
        <v>240.24</v>
      </c>
      <c r="E23" s="105">
        <f t="shared" si="13"/>
        <v>248.22</v>
      </c>
      <c r="F23" s="105">
        <f t="shared" si="13"/>
        <v>256.2</v>
      </c>
      <c r="G23" s="105">
        <f t="shared" si="13"/>
        <v>264.18</v>
      </c>
      <c r="H23" s="105">
        <f t="shared" si="13"/>
        <v>272.16000000000003</v>
      </c>
      <c r="I23" s="105">
        <f t="shared" si="13"/>
        <v>280.14000000000004</v>
      </c>
      <c r="J23" s="105">
        <f t="shared" si="13"/>
        <v>288.12</v>
      </c>
      <c r="K23" s="105">
        <f t="shared" si="13"/>
        <v>296.09999999999997</v>
      </c>
      <c r="L23" s="105">
        <f t="shared" si="13"/>
        <v>304.35999999999996</v>
      </c>
      <c r="M23" s="105">
        <f t="shared" si="13"/>
        <v>312.33999999999997</v>
      </c>
    </row>
    <row r="24" spans="1:13" x14ac:dyDescent="0.2">
      <c r="A24" s="98"/>
      <c r="B24" s="98"/>
      <c r="C24" s="107" t="s">
        <v>14</v>
      </c>
      <c r="D24" s="102">
        <f t="shared" ref="D24:M24" si="14">IF(ROUND(D22*1.5,2)&lt;$G$149,ROUND(D22*1.5,2),IF($G$149&lt;D22,D22,$G$149))</f>
        <v>17.16</v>
      </c>
      <c r="E24" s="102">
        <f t="shared" si="14"/>
        <v>17.73</v>
      </c>
      <c r="F24" s="102">
        <f t="shared" si="14"/>
        <v>18.3</v>
      </c>
      <c r="G24" s="102">
        <f t="shared" si="14"/>
        <v>18.87</v>
      </c>
      <c r="H24" s="102">
        <f t="shared" si="14"/>
        <v>19.440000000000001</v>
      </c>
      <c r="I24" s="102">
        <f t="shared" si="14"/>
        <v>20.010000000000002</v>
      </c>
      <c r="J24" s="102">
        <f t="shared" si="14"/>
        <v>20.58</v>
      </c>
      <c r="K24" s="102">
        <f t="shared" si="14"/>
        <v>21.15</v>
      </c>
      <c r="L24" s="102">
        <f t="shared" si="14"/>
        <v>21.74</v>
      </c>
      <c r="M24" s="102">
        <f t="shared" si="14"/>
        <v>22.31</v>
      </c>
    </row>
    <row r="25" spans="1:13" x14ac:dyDescent="0.2">
      <c r="A25" s="108"/>
      <c r="B25" s="108"/>
      <c r="C25" s="103" t="s">
        <v>43</v>
      </c>
      <c r="D25" s="102">
        <f>(ROUND(D20*'Start Page'!$G$46,2)*80)+(ROUND(D22*'Start Page'!$G$46,2)*($B$15-80))</f>
        <v>0</v>
      </c>
      <c r="E25" s="102">
        <f>(ROUND(E20*'Start Page'!$G$46,2)*80)+(ROUND(E22*'Start Page'!$G$46,2)*($B$15-80))</f>
        <v>0</v>
      </c>
      <c r="F25" s="102">
        <f>(ROUND(F20*'Start Page'!$G$46,2)*80)+(ROUND(F22*'Start Page'!$G$46,2)*($B$15-80))</f>
        <v>0</v>
      </c>
      <c r="G25" s="102">
        <f>(ROUND(G20*'Start Page'!$G$46,2)*80)+(ROUND(G22*'Start Page'!$G$46,2)*($B$15-80))</f>
        <v>0</v>
      </c>
      <c r="H25" s="102">
        <f>(ROUND(H20*'Start Page'!$G$46,2)*80)+(ROUND(H22*'Start Page'!$G$46,2)*($B$15-80))</f>
        <v>0</v>
      </c>
      <c r="I25" s="102">
        <f>(ROUND(I20*'Start Page'!$G$46,2)*80)+(ROUND(I22*'Start Page'!$G$46,2)*($B$15-80))</f>
        <v>0</v>
      </c>
      <c r="J25" s="102">
        <f>(ROUND(J20*'Start Page'!$G$46,2)*80)+(ROUND(J22*'Start Page'!$G$46,2)*($B$15-80))</f>
        <v>0</v>
      </c>
      <c r="K25" s="102">
        <f>(ROUND(K20*'Start Page'!$G$46,2)*80)+(ROUND(K22*'Start Page'!$G$46,2)*($B$15-80))</f>
        <v>0</v>
      </c>
      <c r="L25" s="102">
        <f>(ROUND(L20*'Start Page'!$G$46,2)*80)+(ROUND(L22*'Start Page'!$G$46,2)*($B$15-80))</f>
        <v>0</v>
      </c>
      <c r="M25" s="102">
        <f>(ROUND(M20*'Start Page'!$G$46,2)*80)+(ROUND(M22*'Start Page'!$G$46,2)*($B$15-80))</f>
        <v>0</v>
      </c>
    </row>
    <row r="26" spans="1:13" x14ac:dyDescent="0.2">
      <c r="A26" s="98"/>
      <c r="B26" s="98">
        <f>B19+B21+B23</f>
        <v>120</v>
      </c>
      <c r="C26" s="115" t="s">
        <v>17</v>
      </c>
      <c r="D26" s="138">
        <f t="shared" ref="D26:M26" si="15">D19+D21+D23+D25</f>
        <v>1745.68</v>
      </c>
      <c r="E26" s="138">
        <f t="shared" si="15"/>
        <v>1804.34</v>
      </c>
      <c r="F26" s="138">
        <f t="shared" si="15"/>
        <v>1862.2</v>
      </c>
      <c r="G26" s="138">
        <f t="shared" si="15"/>
        <v>1920.06</v>
      </c>
      <c r="H26" s="138">
        <f t="shared" si="15"/>
        <v>1978.7200000000003</v>
      </c>
      <c r="I26" s="138">
        <f t="shared" si="15"/>
        <v>2036.5800000000002</v>
      </c>
      <c r="J26" s="138">
        <f t="shared" si="15"/>
        <v>2094.44</v>
      </c>
      <c r="K26" s="138">
        <f t="shared" si="15"/>
        <v>2153.1</v>
      </c>
      <c r="L26" s="138">
        <f t="shared" si="15"/>
        <v>2211.5</v>
      </c>
      <c r="M26" s="138">
        <f t="shared" si="15"/>
        <v>2269.36</v>
      </c>
    </row>
    <row r="27" spans="1:13" x14ac:dyDescent="0.2">
      <c r="A27" s="98"/>
      <c r="B27" s="98"/>
      <c r="C27" s="115" t="s">
        <v>33</v>
      </c>
      <c r="D27" s="138">
        <f>D26*26</f>
        <v>45387.68</v>
      </c>
      <c r="E27" s="138">
        <f t="shared" ref="E27" si="16">E26*26</f>
        <v>46912.84</v>
      </c>
      <c r="F27" s="138">
        <f t="shared" ref="F27" si="17">F26*26</f>
        <v>48417.200000000004</v>
      </c>
      <c r="G27" s="138">
        <f t="shared" ref="G27" si="18">G26*26</f>
        <v>49921.56</v>
      </c>
      <c r="H27" s="138">
        <f t="shared" ref="H27" si="19">H26*26</f>
        <v>51446.720000000008</v>
      </c>
      <c r="I27" s="138">
        <f t="shared" ref="I27" si="20">I26*26</f>
        <v>52951.08</v>
      </c>
      <c r="J27" s="138">
        <f t="shared" ref="J27" si="21">J26*26</f>
        <v>54455.44</v>
      </c>
      <c r="K27" s="138">
        <f t="shared" ref="K27" si="22">K26*26</f>
        <v>55980.6</v>
      </c>
      <c r="L27" s="138">
        <f t="shared" ref="L27" si="23">L26*26</f>
        <v>57499</v>
      </c>
      <c r="M27" s="138">
        <f t="shared" ref="M27" si="24">M26*26</f>
        <v>59003.360000000001</v>
      </c>
    </row>
    <row r="28" spans="1:13" s="134" customFormat="1" x14ac:dyDescent="0.2">
      <c r="A28" s="112"/>
      <c r="B28" s="112"/>
      <c r="C28" s="113" t="s">
        <v>66</v>
      </c>
      <c r="D28" s="139">
        <f>((D20*80)+(D22*($B$15-80)))*26</f>
        <v>43305.599999999999</v>
      </c>
      <c r="E28" s="139">
        <f t="shared" ref="E28:M28" si="25">((E20*80)+(E22*($B$15-80)))*26</f>
        <v>44761.599999999999</v>
      </c>
      <c r="F28" s="139">
        <f t="shared" si="25"/>
        <v>46196.799999999996</v>
      </c>
      <c r="G28" s="139">
        <f t="shared" si="25"/>
        <v>47632</v>
      </c>
      <c r="H28" s="139">
        <f t="shared" si="25"/>
        <v>49088.000000000007</v>
      </c>
      <c r="I28" s="139">
        <f t="shared" si="25"/>
        <v>50523.200000000004</v>
      </c>
      <c r="J28" s="139">
        <f t="shared" si="25"/>
        <v>51958.400000000001</v>
      </c>
      <c r="K28" s="139">
        <f t="shared" si="25"/>
        <v>53414.399999999994</v>
      </c>
      <c r="L28" s="139">
        <f t="shared" si="25"/>
        <v>54860</v>
      </c>
      <c r="M28" s="141">
        <f t="shared" si="25"/>
        <v>56295.199999999997</v>
      </c>
    </row>
    <row r="29" spans="1:13" x14ac:dyDescent="0.2">
      <c r="A29" s="98"/>
      <c r="B29" s="97"/>
      <c r="C29" s="128" t="s">
        <v>30</v>
      </c>
      <c r="D29" s="140">
        <f>'GS Pay Scale'!B11</f>
        <v>35265</v>
      </c>
      <c r="E29" s="140">
        <f>'GS Pay Scale'!C11</f>
        <v>36441</v>
      </c>
      <c r="F29" s="140">
        <f>'GS Pay Scale'!D11</f>
        <v>37616</v>
      </c>
      <c r="G29" s="140">
        <f>'GS Pay Scale'!E11</f>
        <v>38792</v>
      </c>
      <c r="H29" s="140">
        <f>'GS Pay Scale'!F11</f>
        <v>39968</v>
      </c>
      <c r="I29" s="140">
        <f>'GS Pay Scale'!G11</f>
        <v>41144</v>
      </c>
      <c r="J29" s="140">
        <f>'GS Pay Scale'!H11</f>
        <v>42319</v>
      </c>
      <c r="K29" s="140">
        <f>'GS Pay Scale'!I11</f>
        <v>43495</v>
      </c>
      <c r="L29" s="140">
        <f>'GS Pay Scale'!J11</f>
        <v>44671</v>
      </c>
      <c r="M29" s="140">
        <f>'GS Pay Scale'!K11</f>
        <v>45847</v>
      </c>
    </row>
    <row r="30" spans="1:13" x14ac:dyDescent="0.2">
      <c r="A30" s="98"/>
      <c r="B30" s="98">
        <v>80</v>
      </c>
      <c r="C30" s="103" t="s">
        <v>41</v>
      </c>
      <c r="D30" s="104">
        <f t="shared" ref="D30:M30" si="26">D31*80</f>
        <v>1352</v>
      </c>
      <c r="E30" s="104">
        <f t="shared" si="26"/>
        <v>1396.8000000000002</v>
      </c>
      <c r="F30" s="104">
        <f t="shared" si="26"/>
        <v>1441.6</v>
      </c>
      <c r="G30" s="104">
        <f t="shared" si="26"/>
        <v>1487.2</v>
      </c>
      <c r="H30" s="104">
        <f t="shared" si="26"/>
        <v>1532</v>
      </c>
      <c r="I30" s="104">
        <f t="shared" si="26"/>
        <v>1576.8000000000002</v>
      </c>
      <c r="J30" s="104">
        <f t="shared" si="26"/>
        <v>1622.4</v>
      </c>
      <c r="K30" s="104">
        <f t="shared" si="26"/>
        <v>1667.2</v>
      </c>
      <c r="L30" s="104">
        <f t="shared" si="26"/>
        <v>1712</v>
      </c>
      <c r="M30" s="104">
        <f t="shared" si="26"/>
        <v>1757.6</v>
      </c>
    </row>
    <row r="31" spans="1:13" x14ac:dyDescent="0.2">
      <c r="A31" s="98"/>
      <c r="B31" s="98"/>
      <c r="C31" s="103" t="s">
        <v>20</v>
      </c>
      <c r="D31" s="105">
        <f t="shared" ref="D31:M31" si="27">ROUND(D29/2087,2)</f>
        <v>16.899999999999999</v>
      </c>
      <c r="E31" s="105">
        <f t="shared" si="27"/>
        <v>17.46</v>
      </c>
      <c r="F31" s="105">
        <f t="shared" si="27"/>
        <v>18.02</v>
      </c>
      <c r="G31" s="105">
        <f t="shared" si="27"/>
        <v>18.59</v>
      </c>
      <c r="H31" s="105">
        <f t="shared" si="27"/>
        <v>19.149999999999999</v>
      </c>
      <c r="I31" s="105">
        <f t="shared" si="27"/>
        <v>19.71</v>
      </c>
      <c r="J31" s="105">
        <f t="shared" si="27"/>
        <v>20.28</v>
      </c>
      <c r="K31" s="105">
        <f t="shared" si="27"/>
        <v>20.84</v>
      </c>
      <c r="L31" s="105">
        <f t="shared" si="27"/>
        <v>21.4</v>
      </c>
      <c r="M31" s="105">
        <f t="shared" si="27"/>
        <v>21.97</v>
      </c>
    </row>
    <row r="32" spans="1:13" x14ac:dyDescent="0.2">
      <c r="A32" s="98"/>
      <c r="B32" s="98">
        <v>26</v>
      </c>
      <c r="C32" s="107" t="s">
        <v>38</v>
      </c>
      <c r="D32" s="105">
        <f t="shared" ref="D32:M32" si="28">D33*26</f>
        <v>332.8</v>
      </c>
      <c r="E32" s="105">
        <f t="shared" si="28"/>
        <v>343.72</v>
      </c>
      <c r="F32" s="105">
        <f t="shared" si="28"/>
        <v>354.90000000000003</v>
      </c>
      <c r="G32" s="105">
        <f t="shared" si="28"/>
        <v>366.08</v>
      </c>
      <c r="H32" s="105">
        <f t="shared" si="28"/>
        <v>377</v>
      </c>
      <c r="I32" s="105">
        <f t="shared" si="28"/>
        <v>388.18</v>
      </c>
      <c r="J32" s="105">
        <f t="shared" si="28"/>
        <v>399.36</v>
      </c>
      <c r="K32" s="105">
        <f t="shared" si="28"/>
        <v>410.28</v>
      </c>
      <c r="L32" s="105">
        <f t="shared" si="28"/>
        <v>421.46000000000004</v>
      </c>
      <c r="M32" s="105">
        <f t="shared" si="28"/>
        <v>432.64</v>
      </c>
    </row>
    <row r="33" spans="1:13" x14ac:dyDescent="0.2">
      <c r="A33" s="98"/>
      <c r="B33" s="98"/>
      <c r="C33" s="107" t="s">
        <v>13</v>
      </c>
      <c r="D33" s="105">
        <f t="shared" ref="D33:M33" si="29">ROUND(D29/2756,2)</f>
        <v>12.8</v>
      </c>
      <c r="E33" s="105">
        <f t="shared" si="29"/>
        <v>13.22</v>
      </c>
      <c r="F33" s="105">
        <f t="shared" si="29"/>
        <v>13.65</v>
      </c>
      <c r="G33" s="105">
        <f t="shared" si="29"/>
        <v>14.08</v>
      </c>
      <c r="H33" s="105">
        <f t="shared" si="29"/>
        <v>14.5</v>
      </c>
      <c r="I33" s="105">
        <f t="shared" si="29"/>
        <v>14.93</v>
      </c>
      <c r="J33" s="105">
        <f t="shared" si="29"/>
        <v>15.36</v>
      </c>
      <c r="K33" s="105">
        <f t="shared" si="29"/>
        <v>15.78</v>
      </c>
      <c r="L33" s="105">
        <f t="shared" si="29"/>
        <v>16.21</v>
      </c>
      <c r="M33" s="105">
        <f t="shared" si="29"/>
        <v>16.64</v>
      </c>
    </row>
    <row r="34" spans="1:13" x14ac:dyDescent="0.2">
      <c r="A34" s="98" t="s">
        <v>24</v>
      </c>
      <c r="B34" s="106">
        <f>($G$3-53)*2</f>
        <v>14</v>
      </c>
      <c r="C34" s="107" t="s">
        <v>39</v>
      </c>
      <c r="D34" s="105">
        <f t="shared" ref="D34:M34" si="30">D35*$B$12</f>
        <v>268.8</v>
      </c>
      <c r="E34" s="105">
        <f t="shared" si="30"/>
        <v>277.62</v>
      </c>
      <c r="F34" s="105">
        <f t="shared" si="30"/>
        <v>286.72000000000003</v>
      </c>
      <c r="G34" s="105">
        <f t="shared" si="30"/>
        <v>295.68</v>
      </c>
      <c r="H34" s="105">
        <f t="shared" si="30"/>
        <v>304.5</v>
      </c>
      <c r="I34" s="105">
        <f t="shared" si="30"/>
        <v>313.59999999999997</v>
      </c>
      <c r="J34" s="105">
        <f t="shared" si="30"/>
        <v>322.56</v>
      </c>
      <c r="K34" s="105">
        <f t="shared" si="30"/>
        <v>331.38</v>
      </c>
      <c r="L34" s="105">
        <f t="shared" si="30"/>
        <v>340.48</v>
      </c>
      <c r="M34" s="105">
        <f t="shared" si="30"/>
        <v>349.44</v>
      </c>
    </row>
    <row r="35" spans="1:13" x14ac:dyDescent="0.2">
      <c r="A35" s="98"/>
      <c r="B35" s="98"/>
      <c r="C35" s="107" t="s">
        <v>14</v>
      </c>
      <c r="D35" s="102">
        <f t="shared" ref="D35:M35" si="31">IF(ROUND(D33*1.5,2)&lt;$G$149,ROUND(D33*1.5,2),IF($G$149&lt;D33,D33,$G$149))</f>
        <v>19.2</v>
      </c>
      <c r="E35" s="102">
        <f t="shared" si="31"/>
        <v>19.829999999999998</v>
      </c>
      <c r="F35" s="102">
        <f t="shared" si="31"/>
        <v>20.48</v>
      </c>
      <c r="G35" s="102">
        <f t="shared" si="31"/>
        <v>21.12</v>
      </c>
      <c r="H35" s="102">
        <f t="shared" si="31"/>
        <v>21.75</v>
      </c>
      <c r="I35" s="102">
        <f t="shared" si="31"/>
        <v>22.4</v>
      </c>
      <c r="J35" s="102">
        <f t="shared" si="31"/>
        <v>23.04</v>
      </c>
      <c r="K35" s="102">
        <f t="shared" si="31"/>
        <v>23.67</v>
      </c>
      <c r="L35" s="102">
        <f t="shared" si="31"/>
        <v>24.32</v>
      </c>
      <c r="M35" s="102">
        <f t="shared" si="31"/>
        <v>24.96</v>
      </c>
    </row>
    <row r="36" spans="1:13" x14ac:dyDescent="0.2">
      <c r="A36" s="108"/>
      <c r="B36" s="108"/>
      <c r="C36" s="103" t="s">
        <v>43</v>
      </c>
      <c r="D36" s="102">
        <f>(ROUND(D31*'Start Page'!$G$46,2)*80)+(ROUND(D33*'Start Page'!$G$46,2)*($B$15-80))</f>
        <v>0</v>
      </c>
      <c r="E36" s="102">
        <f>(ROUND(E31*'Start Page'!$G$46,2)*80)+(ROUND(E33*'Start Page'!$G$46,2)*($B$15-80))</f>
        <v>0</v>
      </c>
      <c r="F36" s="102">
        <f>(ROUND(F31*'Start Page'!$G$46,2)*80)+(ROUND(F33*'Start Page'!$G$46,2)*($B$15-80))</f>
        <v>0</v>
      </c>
      <c r="G36" s="102">
        <f>(ROUND(G31*'Start Page'!$G$46,2)*80)+(ROUND(G33*'Start Page'!$G$46,2)*($B$15-80))</f>
        <v>0</v>
      </c>
      <c r="H36" s="102">
        <f>(ROUND(H31*'Start Page'!$G$46,2)*80)+(ROUND(H33*'Start Page'!$G$46,2)*($B$15-80))</f>
        <v>0</v>
      </c>
      <c r="I36" s="102">
        <f>(ROUND(I31*'Start Page'!$G$46,2)*80)+(ROUND(I33*'Start Page'!$G$46,2)*($B$15-80))</f>
        <v>0</v>
      </c>
      <c r="J36" s="102">
        <f>(ROUND(J31*'Start Page'!$G$46,2)*80)+(ROUND(J33*'Start Page'!$G$46,2)*($B$15-80))</f>
        <v>0</v>
      </c>
      <c r="K36" s="102">
        <f>(ROUND(K31*'Start Page'!$G$46,2)*80)+(ROUND(K33*'Start Page'!$G$46,2)*($B$15-80))</f>
        <v>0</v>
      </c>
      <c r="L36" s="102">
        <f>(ROUND(L31*'Start Page'!$G$46,2)*80)+(ROUND(L33*'Start Page'!$G$46,2)*($B$15-80))</f>
        <v>0</v>
      </c>
      <c r="M36" s="102">
        <f>(ROUND(M31*'Start Page'!$G$46,2)*80)+(ROUND(M33*'Start Page'!$G$46,2)*($B$15-80))</f>
        <v>0</v>
      </c>
    </row>
    <row r="37" spans="1:13" x14ac:dyDescent="0.2">
      <c r="A37" s="98"/>
      <c r="B37" s="98">
        <f>B30+B32+B34</f>
        <v>120</v>
      </c>
      <c r="C37" s="115" t="s">
        <v>17</v>
      </c>
      <c r="D37" s="138">
        <f t="shared" ref="D37:M37" si="32">D30+D32+D34+D36</f>
        <v>1953.6</v>
      </c>
      <c r="E37" s="138">
        <f t="shared" si="32"/>
        <v>2018.1400000000003</v>
      </c>
      <c r="F37" s="138">
        <f t="shared" si="32"/>
        <v>2083.2200000000003</v>
      </c>
      <c r="G37" s="138">
        <f t="shared" si="32"/>
        <v>2148.96</v>
      </c>
      <c r="H37" s="138">
        <f t="shared" si="32"/>
        <v>2213.5</v>
      </c>
      <c r="I37" s="138">
        <f t="shared" si="32"/>
        <v>2278.5800000000004</v>
      </c>
      <c r="J37" s="138">
        <f t="shared" si="32"/>
        <v>2344.3200000000002</v>
      </c>
      <c r="K37" s="138">
        <f t="shared" si="32"/>
        <v>2408.86</v>
      </c>
      <c r="L37" s="138">
        <f t="shared" si="32"/>
        <v>2473.94</v>
      </c>
      <c r="M37" s="138">
        <f t="shared" si="32"/>
        <v>2539.6799999999998</v>
      </c>
    </row>
    <row r="38" spans="1:13" x14ac:dyDescent="0.2">
      <c r="A38" s="98"/>
      <c r="B38" s="98"/>
      <c r="C38" s="115" t="s">
        <v>33</v>
      </c>
      <c r="D38" s="138">
        <f>D37*26</f>
        <v>50793.599999999999</v>
      </c>
      <c r="E38" s="138">
        <f t="shared" ref="E38" si="33">E37*26</f>
        <v>52471.640000000007</v>
      </c>
      <c r="F38" s="138">
        <f t="shared" ref="F38" si="34">F37*26</f>
        <v>54163.720000000008</v>
      </c>
      <c r="G38" s="138">
        <f t="shared" ref="G38" si="35">G37*26</f>
        <v>55872.959999999999</v>
      </c>
      <c r="H38" s="138">
        <f t="shared" ref="H38" si="36">H37*26</f>
        <v>57551</v>
      </c>
      <c r="I38" s="138">
        <f t="shared" ref="I38" si="37">I37*26</f>
        <v>59243.080000000009</v>
      </c>
      <c r="J38" s="138">
        <f t="shared" ref="J38" si="38">J37*26</f>
        <v>60952.320000000007</v>
      </c>
      <c r="K38" s="138">
        <f t="shared" ref="K38" si="39">K37*26</f>
        <v>62630.36</v>
      </c>
      <c r="L38" s="138">
        <f t="shared" ref="L38" si="40">L37*26</f>
        <v>64322.44</v>
      </c>
      <c r="M38" s="138">
        <f t="shared" ref="M38" si="41">M37*26</f>
        <v>66031.679999999993</v>
      </c>
    </row>
    <row r="39" spans="1:13" s="134" customFormat="1" x14ac:dyDescent="0.2">
      <c r="A39" s="112"/>
      <c r="B39" s="112"/>
      <c r="C39" s="113" t="s">
        <v>66</v>
      </c>
      <c r="D39" s="139">
        <f>((D31*80)+(D33*($B$15-80)))*26</f>
        <v>48464</v>
      </c>
      <c r="E39" s="139">
        <f t="shared" ref="E39:M39" si="42">((E31*80)+(E33*($B$15-80)))*26</f>
        <v>50065.600000000006</v>
      </c>
      <c r="F39" s="139">
        <f t="shared" si="42"/>
        <v>51677.599999999999</v>
      </c>
      <c r="G39" s="139">
        <f t="shared" si="42"/>
        <v>53310.400000000001</v>
      </c>
      <c r="H39" s="139">
        <f t="shared" si="42"/>
        <v>54912</v>
      </c>
      <c r="I39" s="139">
        <f t="shared" si="42"/>
        <v>56524</v>
      </c>
      <c r="J39" s="139">
        <f t="shared" si="42"/>
        <v>58156.800000000003</v>
      </c>
      <c r="K39" s="139">
        <f t="shared" si="42"/>
        <v>59758.400000000001</v>
      </c>
      <c r="L39" s="139">
        <f t="shared" si="42"/>
        <v>61370.400000000001</v>
      </c>
      <c r="M39" s="116">
        <f t="shared" si="42"/>
        <v>63003.199999999997</v>
      </c>
    </row>
    <row r="40" spans="1:13" x14ac:dyDescent="0.2">
      <c r="A40" s="98"/>
      <c r="B40" s="97"/>
      <c r="C40" s="128" t="s">
        <v>30</v>
      </c>
      <c r="D40" s="140">
        <f>'GS Pay Scale'!B12</f>
        <v>39311</v>
      </c>
      <c r="E40" s="140">
        <f>'GS Pay Scale'!C12</f>
        <v>40621</v>
      </c>
      <c r="F40" s="140">
        <f>'GS Pay Scale'!D12</f>
        <v>41931</v>
      </c>
      <c r="G40" s="140">
        <f>'GS Pay Scale'!E12</f>
        <v>43241</v>
      </c>
      <c r="H40" s="140">
        <f>'GS Pay Scale'!F12</f>
        <v>44551</v>
      </c>
      <c r="I40" s="140">
        <f>'GS Pay Scale'!G12</f>
        <v>45862</v>
      </c>
      <c r="J40" s="140">
        <f>'GS Pay Scale'!H12</f>
        <v>47172</v>
      </c>
      <c r="K40" s="140">
        <f>'GS Pay Scale'!I12</f>
        <v>48482</v>
      </c>
      <c r="L40" s="140">
        <f>'GS Pay Scale'!J12</f>
        <v>49792</v>
      </c>
      <c r="M40" s="140">
        <f>'GS Pay Scale'!K12</f>
        <v>51103</v>
      </c>
    </row>
    <row r="41" spans="1:13" x14ac:dyDescent="0.2">
      <c r="A41" s="98"/>
      <c r="B41" s="98">
        <v>80</v>
      </c>
      <c r="C41" s="103" t="s">
        <v>41</v>
      </c>
      <c r="D41" s="104">
        <f t="shared" ref="D41:M41" si="43">D42*80</f>
        <v>1507.2</v>
      </c>
      <c r="E41" s="104">
        <f t="shared" si="43"/>
        <v>1556.8000000000002</v>
      </c>
      <c r="F41" s="104">
        <f t="shared" si="43"/>
        <v>1607.2</v>
      </c>
      <c r="G41" s="104">
        <f t="shared" si="43"/>
        <v>1657.6</v>
      </c>
      <c r="H41" s="104">
        <f t="shared" si="43"/>
        <v>1708</v>
      </c>
      <c r="I41" s="104">
        <f t="shared" si="43"/>
        <v>1758.4</v>
      </c>
      <c r="J41" s="104">
        <f t="shared" si="43"/>
        <v>1808</v>
      </c>
      <c r="K41" s="104">
        <f t="shared" si="43"/>
        <v>1858.4</v>
      </c>
      <c r="L41" s="104">
        <f t="shared" si="43"/>
        <v>1908.8</v>
      </c>
      <c r="M41" s="104">
        <f t="shared" si="43"/>
        <v>1959.1999999999998</v>
      </c>
    </row>
    <row r="42" spans="1:13" x14ac:dyDescent="0.2">
      <c r="A42" s="98"/>
      <c r="B42" s="98"/>
      <c r="C42" s="103" t="s">
        <v>20</v>
      </c>
      <c r="D42" s="105">
        <f t="shared" ref="D42:M42" si="44">ROUND(D40/2087,2)</f>
        <v>18.84</v>
      </c>
      <c r="E42" s="105">
        <f t="shared" si="44"/>
        <v>19.46</v>
      </c>
      <c r="F42" s="105">
        <f t="shared" si="44"/>
        <v>20.09</v>
      </c>
      <c r="G42" s="105">
        <f t="shared" si="44"/>
        <v>20.72</v>
      </c>
      <c r="H42" s="105">
        <f t="shared" si="44"/>
        <v>21.35</v>
      </c>
      <c r="I42" s="105">
        <f t="shared" si="44"/>
        <v>21.98</v>
      </c>
      <c r="J42" s="105">
        <f t="shared" si="44"/>
        <v>22.6</v>
      </c>
      <c r="K42" s="105">
        <f t="shared" si="44"/>
        <v>23.23</v>
      </c>
      <c r="L42" s="105">
        <f t="shared" si="44"/>
        <v>23.86</v>
      </c>
      <c r="M42" s="105">
        <f t="shared" si="44"/>
        <v>24.49</v>
      </c>
    </row>
    <row r="43" spans="1:13" x14ac:dyDescent="0.2">
      <c r="A43" s="98"/>
      <c r="B43" s="98">
        <v>26</v>
      </c>
      <c r="C43" s="107" t="s">
        <v>38</v>
      </c>
      <c r="D43" s="105">
        <f t="shared" ref="D43:M43" si="45">D44*26</f>
        <v>370.76</v>
      </c>
      <c r="E43" s="105">
        <f t="shared" si="45"/>
        <v>383.24</v>
      </c>
      <c r="F43" s="105">
        <f t="shared" si="45"/>
        <v>395.46000000000004</v>
      </c>
      <c r="G43" s="105">
        <f t="shared" si="45"/>
        <v>407.94</v>
      </c>
      <c r="H43" s="105">
        <f t="shared" si="45"/>
        <v>420.42000000000007</v>
      </c>
      <c r="I43" s="105">
        <f t="shared" si="45"/>
        <v>432.64</v>
      </c>
      <c r="J43" s="105">
        <f t="shared" si="45"/>
        <v>445.12</v>
      </c>
      <c r="K43" s="105">
        <f t="shared" si="45"/>
        <v>457.34</v>
      </c>
      <c r="L43" s="105">
        <f t="shared" si="45"/>
        <v>469.82</v>
      </c>
      <c r="M43" s="105">
        <f t="shared" si="45"/>
        <v>482.03999999999996</v>
      </c>
    </row>
    <row r="44" spans="1:13" x14ac:dyDescent="0.2">
      <c r="A44" s="98"/>
      <c r="B44" s="98"/>
      <c r="C44" s="107" t="s">
        <v>13</v>
      </c>
      <c r="D44" s="105">
        <f t="shared" ref="D44:M44" si="46">ROUND(D40/2756,2)</f>
        <v>14.26</v>
      </c>
      <c r="E44" s="105">
        <f t="shared" si="46"/>
        <v>14.74</v>
      </c>
      <c r="F44" s="105">
        <f t="shared" si="46"/>
        <v>15.21</v>
      </c>
      <c r="G44" s="105">
        <f t="shared" si="46"/>
        <v>15.69</v>
      </c>
      <c r="H44" s="105">
        <f t="shared" si="46"/>
        <v>16.170000000000002</v>
      </c>
      <c r="I44" s="105">
        <f t="shared" si="46"/>
        <v>16.64</v>
      </c>
      <c r="J44" s="105">
        <f t="shared" si="46"/>
        <v>17.12</v>
      </c>
      <c r="K44" s="105">
        <f t="shared" si="46"/>
        <v>17.59</v>
      </c>
      <c r="L44" s="105">
        <f t="shared" si="46"/>
        <v>18.07</v>
      </c>
      <c r="M44" s="105">
        <f t="shared" si="46"/>
        <v>18.54</v>
      </c>
    </row>
    <row r="45" spans="1:13" x14ac:dyDescent="0.2">
      <c r="A45" s="98" t="s">
        <v>18</v>
      </c>
      <c r="B45" s="106">
        <f>($G$3-53)*2</f>
        <v>14</v>
      </c>
      <c r="C45" s="107" t="s">
        <v>39</v>
      </c>
      <c r="D45" s="105">
        <f t="shared" ref="D45:M45" si="47">D46*$B$12</f>
        <v>299.46000000000004</v>
      </c>
      <c r="E45" s="105">
        <f t="shared" si="47"/>
        <v>309.53999999999996</v>
      </c>
      <c r="F45" s="105">
        <f t="shared" si="47"/>
        <v>319.48</v>
      </c>
      <c r="G45" s="105">
        <f t="shared" si="47"/>
        <v>329.56</v>
      </c>
      <c r="H45" s="105">
        <f t="shared" si="47"/>
        <v>339.64000000000004</v>
      </c>
      <c r="I45" s="105">
        <f t="shared" si="47"/>
        <v>349.44</v>
      </c>
      <c r="J45" s="105">
        <f t="shared" si="47"/>
        <v>359.52</v>
      </c>
      <c r="K45" s="105">
        <f t="shared" si="47"/>
        <v>369.46000000000004</v>
      </c>
      <c r="L45" s="105">
        <f t="shared" si="47"/>
        <v>379.53999999999996</v>
      </c>
      <c r="M45" s="105">
        <f t="shared" si="47"/>
        <v>389.34</v>
      </c>
    </row>
    <row r="46" spans="1:13" x14ac:dyDescent="0.2">
      <c r="A46" s="98"/>
      <c r="B46" s="98"/>
      <c r="C46" s="107" t="s">
        <v>14</v>
      </c>
      <c r="D46" s="102">
        <f t="shared" ref="D46:M46" si="48">IF(ROUND(D44*1.5,2)&lt;$G$149,ROUND(D44*1.5,2),IF($G$149&lt;D44,D44,$G$149))</f>
        <v>21.39</v>
      </c>
      <c r="E46" s="102">
        <f t="shared" si="48"/>
        <v>22.11</v>
      </c>
      <c r="F46" s="102">
        <f t="shared" si="48"/>
        <v>22.82</v>
      </c>
      <c r="G46" s="102">
        <f t="shared" si="48"/>
        <v>23.54</v>
      </c>
      <c r="H46" s="102">
        <f t="shared" si="48"/>
        <v>24.26</v>
      </c>
      <c r="I46" s="102">
        <f t="shared" si="48"/>
        <v>24.96</v>
      </c>
      <c r="J46" s="102">
        <f t="shared" si="48"/>
        <v>25.68</v>
      </c>
      <c r="K46" s="102">
        <f t="shared" si="48"/>
        <v>26.39</v>
      </c>
      <c r="L46" s="102">
        <f t="shared" si="48"/>
        <v>27.11</v>
      </c>
      <c r="M46" s="102">
        <f t="shared" si="48"/>
        <v>27.81</v>
      </c>
    </row>
    <row r="47" spans="1:13" x14ac:dyDescent="0.2">
      <c r="A47" s="108"/>
      <c r="B47" s="108"/>
      <c r="C47" s="103" t="s">
        <v>43</v>
      </c>
      <c r="D47" s="102">
        <f>(ROUND(D42*'Start Page'!$G$46,2)*80)+(ROUND(D44*'Start Page'!$G$46,2)*($B$15-80))</f>
        <v>0</v>
      </c>
      <c r="E47" s="102">
        <f>(ROUND(E42*'Start Page'!$G$46,2)*80)+(ROUND(E44*'Start Page'!$G$46,2)*($B$15-80))</f>
        <v>0</v>
      </c>
      <c r="F47" s="102">
        <f>(ROUND(F42*'Start Page'!$G$46,2)*80)+(ROUND(F44*'Start Page'!$G$46,2)*($B$15-80))</f>
        <v>0</v>
      </c>
      <c r="G47" s="102">
        <f>(ROUND(G42*'Start Page'!$G$46,2)*80)+(ROUND(G44*'Start Page'!$G$46,2)*($B$15-80))</f>
        <v>0</v>
      </c>
      <c r="H47" s="102">
        <f>(ROUND(H42*'Start Page'!$G$46,2)*80)+(ROUND(H44*'Start Page'!$G$46,2)*($B$15-80))</f>
        <v>0</v>
      </c>
      <c r="I47" s="102">
        <f>(ROUND(I42*'Start Page'!$G$46,2)*80)+(ROUND(I44*'Start Page'!$G$46,2)*($B$15-80))</f>
        <v>0</v>
      </c>
      <c r="J47" s="102">
        <f>(ROUND(J42*'Start Page'!$G$46,2)*80)+(ROUND(J44*'Start Page'!$G$46,2)*($B$15-80))</f>
        <v>0</v>
      </c>
      <c r="K47" s="102">
        <f>(ROUND(K42*'Start Page'!$G$46,2)*80)+(ROUND(K44*'Start Page'!$G$46,2)*($B$15-80))</f>
        <v>0</v>
      </c>
      <c r="L47" s="102">
        <f>(ROUND(L42*'Start Page'!$G$46,2)*80)+(ROUND(L44*'Start Page'!$G$46,2)*($B$15-80))</f>
        <v>0</v>
      </c>
      <c r="M47" s="102">
        <f>(ROUND(M42*'Start Page'!$G$46,2)*80)+(ROUND(M44*'Start Page'!$G$46,2)*($B$15-80))</f>
        <v>0</v>
      </c>
    </row>
    <row r="48" spans="1:13" x14ac:dyDescent="0.2">
      <c r="A48" s="98"/>
      <c r="B48" s="98">
        <f>B41+B43+B45</f>
        <v>120</v>
      </c>
      <c r="C48" s="115" t="s">
        <v>17</v>
      </c>
      <c r="D48" s="138">
        <f t="shared" ref="D48:M48" si="49">D41+D43+D45+D47</f>
        <v>2177.42</v>
      </c>
      <c r="E48" s="138">
        <f t="shared" si="49"/>
        <v>2249.58</v>
      </c>
      <c r="F48" s="138">
        <f t="shared" si="49"/>
        <v>2322.1400000000003</v>
      </c>
      <c r="G48" s="138">
        <f t="shared" si="49"/>
        <v>2395.1</v>
      </c>
      <c r="H48" s="138">
        <f t="shared" si="49"/>
        <v>2468.06</v>
      </c>
      <c r="I48" s="138">
        <f t="shared" si="49"/>
        <v>2540.48</v>
      </c>
      <c r="J48" s="138">
        <f t="shared" si="49"/>
        <v>2612.64</v>
      </c>
      <c r="K48" s="138">
        <f t="shared" si="49"/>
        <v>2685.2000000000003</v>
      </c>
      <c r="L48" s="138">
        <f t="shared" si="49"/>
        <v>2758.16</v>
      </c>
      <c r="M48" s="138">
        <f t="shared" si="49"/>
        <v>2830.58</v>
      </c>
    </row>
    <row r="49" spans="1:13" x14ac:dyDescent="0.2">
      <c r="A49" s="98"/>
      <c r="B49" s="98"/>
      <c r="C49" s="115" t="s">
        <v>33</v>
      </c>
      <c r="D49" s="138">
        <f>D48*26</f>
        <v>56612.92</v>
      </c>
      <c r="E49" s="138">
        <f t="shared" ref="E49" si="50">E48*26</f>
        <v>58489.08</v>
      </c>
      <c r="F49" s="138">
        <f t="shared" ref="F49" si="51">F48*26</f>
        <v>60375.640000000007</v>
      </c>
      <c r="G49" s="138">
        <f t="shared" ref="G49" si="52">G48*26</f>
        <v>62272.6</v>
      </c>
      <c r="H49" s="138">
        <f t="shared" ref="H49" si="53">H48*26</f>
        <v>64169.56</v>
      </c>
      <c r="I49" s="138">
        <f t="shared" ref="I49" si="54">I48*26</f>
        <v>66052.479999999996</v>
      </c>
      <c r="J49" s="138">
        <f t="shared" ref="J49" si="55">J48*26</f>
        <v>67928.639999999999</v>
      </c>
      <c r="K49" s="138">
        <f t="shared" ref="K49" si="56">K48*26</f>
        <v>69815.200000000012</v>
      </c>
      <c r="L49" s="138">
        <f t="shared" ref="L49" si="57">L48*26</f>
        <v>71712.160000000003</v>
      </c>
      <c r="M49" s="138">
        <f t="shared" ref="M49" si="58">M48*26</f>
        <v>73595.08</v>
      </c>
    </row>
    <row r="50" spans="1:13" s="134" customFormat="1" x14ac:dyDescent="0.2">
      <c r="A50" s="112"/>
      <c r="B50" s="112"/>
      <c r="C50" s="113" t="s">
        <v>66</v>
      </c>
      <c r="D50" s="139">
        <f>((D42*80)+(D44*($B$15-80)))*26</f>
        <v>54017.599999999999</v>
      </c>
      <c r="E50" s="139">
        <f t="shared" ref="E50:M50" si="59">((E42*80)+(E44*($B$15-80)))*26</f>
        <v>55806.400000000001</v>
      </c>
      <c r="F50" s="139">
        <f t="shared" si="59"/>
        <v>57605.600000000006</v>
      </c>
      <c r="G50" s="139">
        <f t="shared" si="59"/>
        <v>59415.199999999997</v>
      </c>
      <c r="H50" s="139">
        <f t="shared" si="59"/>
        <v>61224.800000000003</v>
      </c>
      <c r="I50" s="139">
        <f t="shared" si="59"/>
        <v>63024</v>
      </c>
      <c r="J50" s="139">
        <f t="shared" si="59"/>
        <v>64812.800000000003</v>
      </c>
      <c r="K50" s="139">
        <f t="shared" si="59"/>
        <v>66612</v>
      </c>
      <c r="L50" s="139">
        <f t="shared" si="59"/>
        <v>68421.599999999991</v>
      </c>
      <c r="M50" s="116">
        <f t="shared" si="59"/>
        <v>70220.799999999988</v>
      </c>
    </row>
    <row r="51" spans="1:13" x14ac:dyDescent="0.2">
      <c r="A51" s="96" t="s">
        <v>0</v>
      </c>
      <c r="B51" s="96" t="s">
        <v>40</v>
      </c>
      <c r="C51" s="96" t="s">
        <v>1</v>
      </c>
      <c r="D51" s="96" t="s">
        <v>2</v>
      </c>
      <c r="E51" s="96" t="s">
        <v>3</v>
      </c>
      <c r="F51" s="96" t="s">
        <v>4</v>
      </c>
      <c r="G51" s="96" t="s">
        <v>5</v>
      </c>
      <c r="H51" s="96" t="s">
        <v>6</v>
      </c>
      <c r="I51" s="96" t="s">
        <v>7</v>
      </c>
      <c r="J51" s="96" t="s">
        <v>8</v>
      </c>
      <c r="K51" s="96" t="s">
        <v>9</v>
      </c>
      <c r="L51" s="96" t="s">
        <v>10</v>
      </c>
      <c r="M51" s="96" t="s">
        <v>11</v>
      </c>
    </row>
    <row r="52" spans="1:13" x14ac:dyDescent="0.2">
      <c r="A52" s="97"/>
      <c r="B52" s="97"/>
      <c r="C52" s="128" t="s">
        <v>30</v>
      </c>
      <c r="D52" s="104">
        <f>'GS Pay Scale'!B13</f>
        <v>43683</v>
      </c>
      <c r="E52" s="104">
        <f>'GS Pay Scale'!C13</f>
        <v>45139</v>
      </c>
      <c r="F52" s="104">
        <f>'GS Pay Scale'!D13</f>
        <v>46596</v>
      </c>
      <c r="G52" s="104">
        <f>'GS Pay Scale'!E13</f>
        <v>48052</v>
      </c>
      <c r="H52" s="104">
        <f>'GS Pay Scale'!F13</f>
        <v>49508</v>
      </c>
      <c r="I52" s="104">
        <f>'GS Pay Scale'!G13</f>
        <v>50965</v>
      </c>
      <c r="J52" s="104">
        <f>'GS Pay Scale'!H13</f>
        <v>52421</v>
      </c>
      <c r="K52" s="104">
        <f>'GS Pay Scale'!I13</f>
        <v>53877</v>
      </c>
      <c r="L52" s="104">
        <f>'GS Pay Scale'!J13</f>
        <v>55334</v>
      </c>
      <c r="M52" s="104">
        <f>'GS Pay Scale'!K13</f>
        <v>56790</v>
      </c>
    </row>
    <row r="53" spans="1:13" x14ac:dyDescent="0.2">
      <c r="A53" s="98"/>
      <c r="B53" s="98">
        <v>80</v>
      </c>
      <c r="C53" s="103" t="s">
        <v>41</v>
      </c>
      <c r="D53" s="104">
        <f t="shared" ref="D53:M53" si="60">D54*80</f>
        <v>1674.4</v>
      </c>
      <c r="E53" s="104">
        <f t="shared" si="60"/>
        <v>1730.3999999999999</v>
      </c>
      <c r="F53" s="104">
        <f t="shared" si="60"/>
        <v>1786.3999999999999</v>
      </c>
      <c r="G53" s="104">
        <f t="shared" si="60"/>
        <v>1841.6</v>
      </c>
      <c r="H53" s="104">
        <f t="shared" si="60"/>
        <v>1897.6</v>
      </c>
      <c r="I53" s="104">
        <f t="shared" si="60"/>
        <v>1953.6000000000001</v>
      </c>
      <c r="J53" s="104">
        <f t="shared" si="60"/>
        <v>2009.6000000000001</v>
      </c>
      <c r="K53" s="104">
        <f t="shared" si="60"/>
        <v>2065.6</v>
      </c>
      <c r="L53" s="104">
        <f t="shared" si="60"/>
        <v>2120.8000000000002</v>
      </c>
      <c r="M53" s="104">
        <f t="shared" si="60"/>
        <v>2176.8000000000002</v>
      </c>
    </row>
    <row r="54" spans="1:13" x14ac:dyDescent="0.2">
      <c r="A54" s="98"/>
      <c r="B54" s="98"/>
      <c r="C54" s="103" t="s">
        <v>20</v>
      </c>
      <c r="D54" s="105">
        <f>ROUND(D52/2087,2)</f>
        <v>20.93</v>
      </c>
      <c r="E54" s="105">
        <f t="shared" ref="E54:M54" si="61">ROUND(E52/2087,2)</f>
        <v>21.63</v>
      </c>
      <c r="F54" s="105">
        <f t="shared" si="61"/>
        <v>22.33</v>
      </c>
      <c r="G54" s="105">
        <f t="shared" si="61"/>
        <v>23.02</v>
      </c>
      <c r="H54" s="105">
        <f t="shared" si="61"/>
        <v>23.72</v>
      </c>
      <c r="I54" s="105">
        <f t="shared" si="61"/>
        <v>24.42</v>
      </c>
      <c r="J54" s="105">
        <f t="shared" si="61"/>
        <v>25.12</v>
      </c>
      <c r="K54" s="105">
        <f t="shared" si="61"/>
        <v>25.82</v>
      </c>
      <c r="L54" s="105">
        <f t="shared" si="61"/>
        <v>26.51</v>
      </c>
      <c r="M54" s="105">
        <f t="shared" si="61"/>
        <v>27.21</v>
      </c>
    </row>
    <row r="55" spans="1:13" x14ac:dyDescent="0.2">
      <c r="A55" s="98"/>
      <c r="B55" s="98">
        <v>26</v>
      </c>
      <c r="C55" s="107" t="s">
        <v>38</v>
      </c>
      <c r="D55" s="105">
        <f t="shared" ref="D55:M55" si="62">D56*26</f>
        <v>412.09999999999997</v>
      </c>
      <c r="E55" s="105">
        <f t="shared" si="62"/>
        <v>425.88</v>
      </c>
      <c r="F55" s="105">
        <f t="shared" si="62"/>
        <v>439.66</v>
      </c>
      <c r="G55" s="105">
        <f t="shared" si="62"/>
        <v>453.44000000000005</v>
      </c>
      <c r="H55" s="105">
        <f t="shared" si="62"/>
        <v>466.96000000000004</v>
      </c>
      <c r="I55" s="105">
        <f t="shared" si="62"/>
        <v>480.73999999999995</v>
      </c>
      <c r="J55" s="105">
        <f t="shared" si="62"/>
        <v>494.52</v>
      </c>
      <c r="K55" s="105">
        <f t="shared" si="62"/>
        <v>508.3</v>
      </c>
      <c r="L55" s="105">
        <f t="shared" si="62"/>
        <v>522.07999999999993</v>
      </c>
      <c r="M55" s="105">
        <f t="shared" si="62"/>
        <v>535.86</v>
      </c>
    </row>
    <row r="56" spans="1:13" x14ac:dyDescent="0.2">
      <c r="A56" s="98"/>
      <c r="B56" s="98"/>
      <c r="C56" s="107" t="s">
        <v>13</v>
      </c>
      <c r="D56" s="105">
        <f>ROUND(D52/2756,2)</f>
        <v>15.85</v>
      </c>
      <c r="E56" s="105">
        <f t="shared" ref="E56:M56" si="63">ROUND(E52/2756,2)</f>
        <v>16.38</v>
      </c>
      <c r="F56" s="105">
        <f t="shared" si="63"/>
        <v>16.91</v>
      </c>
      <c r="G56" s="105">
        <f t="shared" si="63"/>
        <v>17.440000000000001</v>
      </c>
      <c r="H56" s="105">
        <f t="shared" si="63"/>
        <v>17.96</v>
      </c>
      <c r="I56" s="105">
        <f t="shared" si="63"/>
        <v>18.489999999999998</v>
      </c>
      <c r="J56" s="105">
        <f t="shared" si="63"/>
        <v>19.02</v>
      </c>
      <c r="K56" s="105">
        <f t="shared" si="63"/>
        <v>19.55</v>
      </c>
      <c r="L56" s="105">
        <f t="shared" si="63"/>
        <v>20.079999999999998</v>
      </c>
      <c r="M56" s="105">
        <f t="shared" si="63"/>
        <v>20.61</v>
      </c>
    </row>
    <row r="57" spans="1:13" x14ac:dyDescent="0.2">
      <c r="A57" s="98" t="s">
        <v>12</v>
      </c>
      <c r="B57" s="106">
        <f>($G$3-53)*2</f>
        <v>14</v>
      </c>
      <c r="C57" s="107" t="s">
        <v>39</v>
      </c>
      <c r="D57" s="105">
        <f t="shared" ref="D57:M57" si="64">D58*$B$12</f>
        <v>332.92</v>
      </c>
      <c r="E57" s="105">
        <f t="shared" si="64"/>
        <v>343.98</v>
      </c>
      <c r="F57" s="105">
        <f t="shared" si="64"/>
        <v>355.18</v>
      </c>
      <c r="G57" s="105">
        <f t="shared" si="64"/>
        <v>366.24</v>
      </c>
      <c r="H57" s="105">
        <f t="shared" si="64"/>
        <v>377.16</v>
      </c>
      <c r="I57" s="105">
        <f t="shared" si="64"/>
        <v>388.35999999999996</v>
      </c>
      <c r="J57" s="105">
        <f t="shared" si="64"/>
        <v>399.42</v>
      </c>
      <c r="K57" s="105">
        <f t="shared" si="64"/>
        <v>410.62</v>
      </c>
      <c r="L57" s="105">
        <f t="shared" si="64"/>
        <v>421.68</v>
      </c>
      <c r="M57" s="105">
        <f t="shared" si="64"/>
        <v>432.88</v>
      </c>
    </row>
    <row r="58" spans="1:13" x14ac:dyDescent="0.2">
      <c r="A58" s="98"/>
      <c r="B58" s="98"/>
      <c r="C58" s="107" t="s">
        <v>14</v>
      </c>
      <c r="D58" s="102">
        <f>IF(ROUND(D56*1.5,2)&lt;$G$149,ROUND(D56*1.5,2),IF($G$149&lt;D56,D56,$G$149))</f>
        <v>23.78</v>
      </c>
      <c r="E58" s="102">
        <f t="shared" ref="E58:M58" si="65">IF(ROUND(E56*1.5,2)&lt;$G$149,ROUND(E56*1.5,2),IF($G$149&lt;E56,E56,$G$149))</f>
        <v>24.57</v>
      </c>
      <c r="F58" s="102">
        <f t="shared" si="65"/>
        <v>25.37</v>
      </c>
      <c r="G58" s="102">
        <f t="shared" si="65"/>
        <v>26.16</v>
      </c>
      <c r="H58" s="102">
        <f t="shared" si="65"/>
        <v>26.94</v>
      </c>
      <c r="I58" s="102">
        <f t="shared" si="65"/>
        <v>27.74</v>
      </c>
      <c r="J58" s="102">
        <f t="shared" si="65"/>
        <v>28.53</v>
      </c>
      <c r="K58" s="102">
        <f t="shared" si="65"/>
        <v>29.33</v>
      </c>
      <c r="L58" s="102">
        <f t="shared" si="65"/>
        <v>30.12</v>
      </c>
      <c r="M58" s="102">
        <f t="shared" si="65"/>
        <v>30.92</v>
      </c>
    </row>
    <row r="59" spans="1:13" x14ac:dyDescent="0.2">
      <c r="A59" s="108"/>
      <c r="B59" s="108"/>
      <c r="C59" s="103" t="s">
        <v>43</v>
      </c>
      <c r="D59" s="102">
        <f>(ROUND(D54*'Start Page'!$G$46,2)*80)+(ROUND(D56*'Start Page'!$G$46,2)*($B$15-80))</f>
        <v>0</v>
      </c>
      <c r="E59" s="102">
        <f>(ROUND(E54*'Start Page'!$G$46,2)*80)+(ROUND(E56*'Start Page'!$G$46,2)*($B$15-80))</f>
        <v>0</v>
      </c>
      <c r="F59" s="102">
        <f>(ROUND(F54*'Start Page'!$G$46,2)*80)+(ROUND(F56*'Start Page'!$G$46,2)*($B$15-80))</f>
        <v>0</v>
      </c>
      <c r="G59" s="102">
        <f>(ROUND(G54*'Start Page'!$G$46,2)*80)+(ROUND(G56*'Start Page'!$G$46,2)*($B$15-80))</f>
        <v>0</v>
      </c>
      <c r="H59" s="102">
        <f>(ROUND(H54*'Start Page'!$G$46,2)*80)+(ROUND(H56*'Start Page'!$G$46,2)*($B$15-80))</f>
        <v>0</v>
      </c>
      <c r="I59" s="102">
        <f>(ROUND(I54*'Start Page'!$G$46,2)*80)+(ROUND(I56*'Start Page'!$G$46,2)*($B$15-80))</f>
        <v>0</v>
      </c>
      <c r="J59" s="102">
        <f>(ROUND(J54*'Start Page'!$G$46,2)*80)+(ROUND(J56*'Start Page'!$G$46,2)*($B$15-80))</f>
        <v>0</v>
      </c>
      <c r="K59" s="102">
        <f>(ROUND(K54*'Start Page'!$G$46,2)*80)+(ROUND(K56*'Start Page'!$G$46,2)*($B$15-80))</f>
        <v>0</v>
      </c>
      <c r="L59" s="102">
        <f>(ROUND(L54*'Start Page'!$G$46,2)*80)+(ROUND(L56*'Start Page'!$G$46,2)*($B$15-80))</f>
        <v>0</v>
      </c>
      <c r="M59" s="102">
        <f>(ROUND(M54*'Start Page'!$G$46,2)*80)+(ROUND(M56*'Start Page'!$G$46,2)*($B$15-80))</f>
        <v>0</v>
      </c>
    </row>
    <row r="60" spans="1:13" x14ac:dyDescent="0.2">
      <c r="A60" s="98"/>
      <c r="B60" s="98">
        <f>B53+B55+B57</f>
        <v>120</v>
      </c>
      <c r="C60" s="115" t="s">
        <v>17</v>
      </c>
      <c r="D60" s="138">
        <f t="shared" ref="D60:M60" si="66">D53+D55+D57+D59</f>
        <v>2419.42</v>
      </c>
      <c r="E60" s="138">
        <f t="shared" si="66"/>
        <v>2500.2599999999998</v>
      </c>
      <c r="F60" s="138">
        <f t="shared" si="66"/>
        <v>2581.2399999999998</v>
      </c>
      <c r="G60" s="138">
        <f t="shared" si="66"/>
        <v>2661.2799999999997</v>
      </c>
      <c r="H60" s="138">
        <f t="shared" si="66"/>
        <v>2741.72</v>
      </c>
      <c r="I60" s="138">
        <f t="shared" si="66"/>
        <v>2822.7000000000003</v>
      </c>
      <c r="J60" s="138">
        <f t="shared" si="66"/>
        <v>2903.54</v>
      </c>
      <c r="K60" s="138">
        <f t="shared" si="66"/>
        <v>2984.52</v>
      </c>
      <c r="L60" s="138">
        <f t="shared" si="66"/>
        <v>3064.56</v>
      </c>
      <c r="M60" s="138">
        <f t="shared" si="66"/>
        <v>3145.5400000000004</v>
      </c>
    </row>
    <row r="61" spans="1:13" x14ac:dyDescent="0.2">
      <c r="A61" s="98"/>
      <c r="B61" s="98"/>
      <c r="C61" s="115" t="s">
        <v>33</v>
      </c>
      <c r="D61" s="138">
        <f>D60*26</f>
        <v>62904.92</v>
      </c>
      <c r="E61" s="138">
        <f t="shared" ref="E61" si="67">E60*26</f>
        <v>65006.759999999995</v>
      </c>
      <c r="F61" s="138">
        <f t="shared" ref="F61" si="68">F60*26</f>
        <v>67112.239999999991</v>
      </c>
      <c r="G61" s="138">
        <f t="shared" ref="G61" si="69">G60*26</f>
        <v>69193.279999999999</v>
      </c>
      <c r="H61" s="138">
        <f t="shared" ref="H61" si="70">H60*26</f>
        <v>71284.72</v>
      </c>
      <c r="I61" s="138">
        <f t="shared" ref="I61" si="71">I60*26</f>
        <v>73390.200000000012</v>
      </c>
      <c r="J61" s="138">
        <f t="shared" ref="J61" si="72">J60*26</f>
        <v>75492.039999999994</v>
      </c>
      <c r="K61" s="138">
        <f t="shared" ref="K61" si="73">K60*26</f>
        <v>77597.52</v>
      </c>
      <c r="L61" s="138">
        <f t="shared" ref="L61" si="74">L60*26</f>
        <v>79678.559999999998</v>
      </c>
      <c r="M61" s="138">
        <f t="shared" ref="M61" si="75">M60*26</f>
        <v>81784.040000000008</v>
      </c>
    </row>
    <row r="62" spans="1:13" s="134" customFormat="1" x14ac:dyDescent="0.2">
      <c r="A62" s="112"/>
      <c r="B62" s="112"/>
      <c r="C62" s="113" t="s">
        <v>66</v>
      </c>
      <c r="D62" s="139">
        <f>((D54*80)+(D56*($B$15-80)))*26</f>
        <v>60018.400000000001</v>
      </c>
      <c r="E62" s="139">
        <f t="shared" ref="E62:M62" si="76">((E54*80)+(E56*($B$15-80)))*26</f>
        <v>62025.599999999999</v>
      </c>
      <c r="F62" s="139">
        <f t="shared" si="76"/>
        <v>64032.799999999996</v>
      </c>
      <c r="G62" s="139">
        <f t="shared" si="76"/>
        <v>66019.199999999997</v>
      </c>
      <c r="H62" s="139">
        <f t="shared" si="76"/>
        <v>68016</v>
      </c>
      <c r="I62" s="139">
        <f t="shared" si="76"/>
        <v>70023.199999999997</v>
      </c>
      <c r="J62" s="139">
        <f t="shared" si="76"/>
        <v>72030.400000000009</v>
      </c>
      <c r="K62" s="139">
        <f t="shared" si="76"/>
        <v>74037.599999999991</v>
      </c>
      <c r="L62" s="139">
        <f t="shared" si="76"/>
        <v>76024</v>
      </c>
      <c r="M62" s="116">
        <f t="shared" si="76"/>
        <v>78031.200000000012</v>
      </c>
    </row>
    <row r="63" spans="1:13" x14ac:dyDescent="0.2">
      <c r="A63" s="97"/>
      <c r="B63" s="97"/>
      <c r="C63" s="128" t="s">
        <v>30</v>
      </c>
      <c r="D63" s="104">
        <f>'GS Pay Scale'!B14</f>
        <v>48378</v>
      </c>
      <c r="E63" s="104">
        <f>'GS Pay Scale'!C14</f>
        <v>49991</v>
      </c>
      <c r="F63" s="104">
        <f>'GS Pay Scale'!D14</f>
        <v>51604</v>
      </c>
      <c r="G63" s="104">
        <f>'GS Pay Scale'!E14</f>
        <v>53216</v>
      </c>
      <c r="H63" s="104">
        <f>'GS Pay Scale'!F14</f>
        <v>54829</v>
      </c>
      <c r="I63" s="104">
        <f>'GS Pay Scale'!G14</f>
        <v>56442</v>
      </c>
      <c r="J63" s="104">
        <f>'GS Pay Scale'!H14</f>
        <v>58055</v>
      </c>
      <c r="K63" s="104">
        <f>'GS Pay Scale'!I14</f>
        <v>59668</v>
      </c>
      <c r="L63" s="104">
        <f>'GS Pay Scale'!J14</f>
        <v>61281</v>
      </c>
      <c r="M63" s="104">
        <f>'GS Pay Scale'!K14</f>
        <v>62894</v>
      </c>
    </row>
    <row r="64" spans="1:13" x14ac:dyDescent="0.2">
      <c r="A64" s="98"/>
      <c r="B64" s="98">
        <v>80</v>
      </c>
      <c r="C64" s="103" t="s">
        <v>41</v>
      </c>
      <c r="D64" s="104">
        <f t="shared" ref="D64:M64" si="77">D65*80</f>
        <v>1854.4</v>
      </c>
      <c r="E64" s="104">
        <f t="shared" si="77"/>
        <v>1916</v>
      </c>
      <c r="F64" s="104">
        <f t="shared" si="77"/>
        <v>1978.4</v>
      </c>
      <c r="G64" s="104">
        <f t="shared" si="77"/>
        <v>2040</v>
      </c>
      <c r="H64" s="104">
        <f t="shared" si="77"/>
        <v>2101.6</v>
      </c>
      <c r="I64" s="104">
        <f t="shared" si="77"/>
        <v>2163.1999999999998</v>
      </c>
      <c r="J64" s="104">
        <f t="shared" si="77"/>
        <v>2225.6</v>
      </c>
      <c r="K64" s="104">
        <f t="shared" si="77"/>
        <v>2287.1999999999998</v>
      </c>
      <c r="L64" s="104">
        <f t="shared" si="77"/>
        <v>2348.8000000000002</v>
      </c>
      <c r="M64" s="104">
        <f t="shared" si="77"/>
        <v>2411.1999999999998</v>
      </c>
    </row>
    <row r="65" spans="1:13" x14ac:dyDescent="0.2">
      <c r="A65" s="98"/>
      <c r="B65" s="98"/>
      <c r="C65" s="103" t="s">
        <v>20</v>
      </c>
      <c r="D65" s="105">
        <f t="shared" ref="D65:M65" si="78">ROUND(D63/2087,2)</f>
        <v>23.18</v>
      </c>
      <c r="E65" s="105">
        <f t="shared" si="78"/>
        <v>23.95</v>
      </c>
      <c r="F65" s="105">
        <f t="shared" si="78"/>
        <v>24.73</v>
      </c>
      <c r="G65" s="105">
        <f t="shared" si="78"/>
        <v>25.5</v>
      </c>
      <c r="H65" s="105">
        <f t="shared" si="78"/>
        <v>26.27</v>
      </c>
      <c r="I65" s="105">
        <f t="shared" si="78"/>
        <v>27.04</v>
      </c>
      <c r="J65" s="105">
        <f t="shared" si="78"/>
        <v>27.82</v>
      </c>
      <c r="K65" s="105">
        <f t="shared" si="78"/>
        <v>28.59</v>
      </c>
      <c r="L65" s="105">
        <f t="shared" si="78"/>
        <v>29.36</v>
      </c>
      <c r="M65" s="105">
        <f t="shared" si="78"/>
        <v>30.14</v>
      </c>
    </row>
    <row r="66" spans="1:13" x14ac:dyDescent="0.2">
      <c r="A66" s="98"/>
      <c r="B66" s="98">
        <v>26</v>
      </c>
      <c r="C66" s="107" t="s">
        <v>38</v>
      </c>
      <c r="D66" s="105">
        <f t="shared" ref="D66:M66" si="79">D67*26</f>
        <v>456.3</v>
      </c>
      <c r="E66" s="105">
        <f t="shared" si="79"/>
        <v>471.64</v>
      </c>
      <c r="F66" s="105">
        <f t="shared" si="79"/>
        <v>486.71999999999997</v>
      </c>
      <c r="G66" s="105">
        <f t="shared" si="79"/>
        <v>502.05999999999995</v>
      </c>
      <c r="H66" s="105">
        <f t="shared" si="79"/>
        <v>517.14</v>
      </c>
      <c r="I66" s="105">
        <f t="shared" si="79"/>
        <v>532.48</v>
      </c>
      <c r="J66" s="105">
        <f t="shared" si="79"/>
        <v>547.55999999999995</v>
      </c>
      <c r="K66" s="105">
        <f t="shared" si="79"/>
        <v>562.9</v>
      </c>
      <c r="L66" s="105">
        <f t="shared" si="79"/>
        <v>578.24</v>
      </c>
      <c r="M66" s="105">
        <f t="shared" si="79"/>
        <v>593.32000000000005</v>
      </c>
    </row>
    <row r="67" spans="1:13" x14ac:dyDescent="0.2">
      <c r="A67" s="98"/>
      <c r="B67" s="98"/>
      <c r="C67" s="107" t="s">
        <v>13</v>
      </c>
      <c r="D67" s="105">
        <f t="shared" ref="D67:M67" si="80">ROUND(D63/2756,2)</f>
        <v>17.55</v>
      </c>
      <c r="E67" s="105">
        <f t="shared" si="80"/>
        <v>18.14</v>
      </c>
      <c r="F67" s="105">
        <f t="shared" si="80"/>
        <v>18.72</v>
      </c>
      <c r="G67" s="105">
        <f t="shared" si="80"/>
        <v>19.309999999999999</v>
      </c>
      <c r="H67" s="105">
        <f t="shared" si="80"/>
        <v>19.89</v>
      </c>
      <c r="I67" s="105">
        <f t="shared" si="80"/>
        <v>20.48</v>
      </c>
      <c r="J67" s="105">
        <f t="shared" si="80"/>
        <v>21.06</v>
      </c>
      <c r="K67" s="105">
        <f t="shared" si="80"/>
        <v>21.65</v>
      </c>
      <c r="L67" s="105">
        <f t="shared" si="80"/>
        <v>22.24</v>
      </c>
      <c r="M67" s="105">
        <f t="shared" si="80"/>
        <v>22.82</v>
      </c>
    </row>
    <row r="68" spans="1:13" x14ac:dyDescent="0.2">
      <c r="A68" s="98" t="s">
        <v>15</v>
      </c>
      <c r="B68" s="106">
        <f>($G$3-53)*2</f>
        <v>14</v>
      </c>
      <c r="C68" s="107" t="s">
        <v>39</v>
      </c>
      <c r="D68" s="105">
        <f t="shared" ref="D68:M68" si="81">D69*$B$12</f>
        <v>368.62</v>
      </c>
      <c r="E68" s="105">
        <f t="shared" si="81"/>
        <v>380.94</v>
      </c>
      <c r="F68" s="105">
        <f t="shared" si="81"/>
        <v>393.12</v>
      </c>
      <c r="G68" s="105">
        <f t="shared" si="81"/>
        <v>405.58</v>
      </c>
      <c r="H68" s="105">
        <f t="shared" si="81"/>
        <v>417.76</v>
      </c>
      <c r="I68" s="105">
        <f t="shared" si="81"/>
        <v>430.08</v>
      </c>
      <c r="J68" s="105">
        <f t="shared" si="81"/>
        <v>442.26</v>
      </c>
      <c r="K68" s="105">
        <f t="shared" si="81"/>
        <v>454.71999999999997</v>
      </c>
      <c r="L68" s="105">
        <f t="shared" si="81"/>
        <v>467.03999999999996</v>
      </c>
      <c r="M68" s="105">
        <f t="shared" si="81"/>
        <v>479.21999999999997</v>
      </c>
    </row>
    <row r="69" spans="1:13" x14ac:dyDescent="0.2">
      <c r="A69" s="98"/>
      <c r="B69" s="98"/>
      <c r="C69" s="107" t="s">
        <v>14</v>
      </c>
      <c r="D69" s="102">
        <f t="shared" ref="D69:M69" si="82">IF(ROUND(D67*1.5,2)&lt;$G$149,ROUND(D67*1.5,2),IF($G$149&lt;D67,D67,$G$149))</f>
        <v>26.33</v>
      </c>
      <c r="E69" s="102">
        <f t="shared" si="82"/>
        <v>27.21</v>
      </c>
      <c r="F69" s="102">
        <f t="shared" si="82"/>
        <v>28.08</v>
      </c>
      <c r="G69" s="102">
        <f t="shared" si="82"/>
        <v>28.97</v>
      </c>
      <c r="H69" s="102">
        <f t="shared" si="82"/>
        <v>29.84</v>
      </c>
      <c r="I69" s="102">
        <f t="shared" si="82"/>
        <v>30.72</v>
      </c>
      <c r="J69" s="102">
        <f t="shared" si="82"/>
        <v>31.59</v>
      </c>
      <c r="K69" s="102">
        <f t="shared" si="82"/>
        <v>32.479999999999997</v>
      </c>
      <c r="L69" s="102">
        <f t="shared" si="82"/>
        <v>33.36</v>
      </c>
      <c r="M69" s="102">
        <f t="shared" si="82"/>
        <v>34.229999999999997</v>
      </c>
    </row>
    <row r="70" spans="1:13" x14ac:dyDescent="0.2">
      <c r="A70" s="108"/>
      <c r="B70" s="108"/>
      <c r="C70" s="103" t="s">
        <v>43</v>
      </c>
      <c r="D70" s="102">
        <f>(ROUND(D65*'Start Page'!$G$46,2)*80)+(ROUND(D67*'Start Page'!$G$46,2)*($B$15-80))</f>
        <v>0</v>
      </c>
      <c r="E70" s="102">
        <f>(ROUND(E65*'Start Page'!$G$46,2)*80)+(ROUND(E67*'Start Page'!$G$46,2)*($B$15-80))</f>
        <v>0</v>
      </c>
      <c r="F70" s="102">
        <f>(ROUND(F65*'Start Page'!$G$46,2)*80)+(ROUND(F67*'Start Page'!$G$46,2)*($B$15-80))</f>
        <v>0</v>
      </c>
      <c r="G70" s="102">
        <f>(ROUND(G65*'Start Page'!$G$46,2)*80)+(ROUND(G67*'Start Page'!$G$46,2)*($B$15-80))</f>
        <v>0</v>
      </c>
      <c r="H70" s="102">
        <f>(ROUND(H65*'Start Page'!$G$46,2)*80)+(ROUND(H67*'Start Page'!$G$46,2)*($B$15-80))</f>
        <v>0</v>
      </c>
      <c r="I70" s="102">
        <f>(ROUND(I65*'Start Page'!$G$46,2)*80)+(ROUND(I67*'Start Page'!$G$46,2)*($B$15-80))</f>
        <v>0</v>
      </c>
      <c r="J70" s="102">
        <f>(ROUND(J65*'Start Page'!$G$46,2)*80)+(ROUND(J67*'Start Page'!$G$46,2)*($B$15-80))</f>
        <v>0</v>
      </c>
      <c r="K70" s="102">
        <f>(ROUND(K65*'Start Page'!$G$46,2)*80)+(ROUND(K67*'Start Page'!$G$46,2)*($B$15-80))</f>
        <v>0</v>
      </c>
      <c r="L70" s="102">
        <f>(ROUND(L65*'Start Page'!$G$46,2)*80)+(ROUND(L67*'Start Page'!$G$46,2)*($B$15-80))</f>
        <v>0</v>
      </c>
      <c r="M70" s="102">
        <f>(ROUND(M65*'Start Page'!$G$46,2)*80)+(ROUND(M67*'Start Page'!$G$46,2)*($B$15-80))</f>
        <v>0</v>
      </c>
    </row>
    <row r="71" spans="1:13" x14ac:dyDescent="0.2">
      <c r="A71" s="98"/>
      <c r="B71" s="98">
        <f>B64+B66+B68</f>
        <v>120</v>
      </c>
      <c r="C71" s="115" t="s">
        <v>17</v>
      </c>
      <c r="D71" s="138">
        <f t="shared" ref="D71:M71" si="83">D64+D66+D68+D70</f>
        <v>2679.32</v>
      </c>
      <c r="E71" s="138">
        <f t="shared" si="83"/>
        <v>2768.58</v>
      </c>
      <c r="F71" s="138">
        <f t="shared" si="83"/>
        <v>2858.24</v>
      </c>
      <c r="G71" s="138">
        <f t="shared" si="83"/>
        <v>2947.64</v>
      </c>
      <c r="H71" s="138">
        <f t="shared" si="83"/>
        <v>3036.5</v>
      </c>
      <c r="I71" s="138">
        <f t="shared" si="83"/>
        <v>3125.7599999999998</v>
      </c>
      <c r="J71" s="138">
        <f t="shared" si="83"/>
        <v>3215.42</v>
      </c>
      <c r="K71" s="138">
        <f t="shared" si="83"/>
        <v>3304.8199999999997</v>
      </c>
      <c r="L71" s="138">
        <f t="shared" si="83"/>
        <v>3394.08</v>
      </c>
      <c r="M71" s="138">
        <f t="shared" si="83"/>
        <v>3483.74</v>
      </c>
    </row>
    <row r="72" spans="1:13" x14ac:dyDescent="0.2">
      <c r="A72" s="98"/>
      <c r="B72" s="98"/>
      <c r="C72" s="115" t="s">
        <v>33</v>
      </c>
      <c r="D72" s="138">
        <f>D71*26</f>
        <v>69662.320000000007</v>
      </c>
      <c r="E72" s="138">
        <f t="shared" ref="E72" si="84">E71*26</f>
        <v>71983.08</v>
      </c>
      <c r="F72" s="138">
        <f t="shared" ref="F72" si="85">F71*26</f>
        <v>74314.239999999991</v>
      </c>
      <c r="G72" s="138">
        <f t="shared" ref="G72" si="86">G71*26</f>
        <v>76638.64</v>
      </c>
      <c r="H72" s="138">
        <f t="shared" ref="H72" si="87">H71*26</f>
        <v>78949</v>
      </c>
      <c r="I72" s="138">
        <f t="shared" ref="I72" si="88">I71*26</f>
        <v>81269.759999999995</v>
      </c>
      <c r="J72" s="138">
        <f t="shared" ref="J72" si="89">J71*26</f>
        <v>83600.92</v>
      </c>
      <c r="K72" s="138">
        <f t="shared" ref="K72" si="90">K71*26</f>
        <v>85925.319999999992</v>
      </c>
      <c r="L72" s="138">
        <f t="shared" ref="L72" si="91">L71*26</f>
        <v>88246.080000000002</v>
      </c>
      <c r="M72" s="138">
        <f t="shared" ref="M72" si="92">M71*26</f>
        <v>90577.239999999991</v>
      </c>
    </row>
    <row r="73" spans="1:13" s="134" customFormat="1" x14ac:dyDescent="0.2">
      <c r="A73" s="112"/>
      <c r="B73" s="112"/>
      <c r="C73" s="113" t="s">
        <v>66</v>
      </c>
      <c r="D73" s="139">
        <f>((D65*80)+(D67*($B$15-80)))*26</f>
        <v>66466.400000000009</v>
      </c>
      <c r="E73" s="139">
        <f t="shared" ref="E73:M73" si="93">((E65*80)+(E67*($B$15-80)))*26</f>
        <v>68681.599999999991</v>
      </c>
      <c r="F73" s="139">
        <f t="shared" si="93"/>
        <v>70907.199999999997</v>
      </c>
      <c r="G73" s="139">
        <f t="shared" si="93"/>
        <v>73122.400000000009</v>
      </c>
      <c r="H73" s="139">
        <f t="shared" si="93"/>
        <v>75327.199999999997</v>
      </c>
      <c r="I73" s="139">
        <f t="shared" si="93"/>
        <v>77542.399999999994</v>
      </c>
      <c r="J73" s="139">
        <f t="shared" si="93"/>
        <v>79768</v>
      </c>
      <c r="K73" s="139">
        <f t="shared" si="93"/>
        <v>81983.199999999997</v>
      </c>
      <c r="L73" s="139">
        <f t="shared" si="93"/>
        <v>84198.400000000009</v>
      </c>
      <c r="M73" s="116">
        <f t="shared" si="93"/>
        <v>86424</v>
      </c>
    </row>
    <row r="74" spans="1:13" x14ac:dyDescent="0.2">
      <c r="A74" s="97"/>
      <c r="B74" s="97"/>
      <c r="C74" s="128" t="s">
        <v>30</v>
      </c>
      <c r="D74" s="104">
        <f>'GS Pay Scale'!B15</f>
        <v>53433</v>
      </c>
      <c r="E74" s="104">
        <f>'GS Pay Scale'!C15</f>
        <v>55214</v>
      </c>
      <c r="F74" s="104">
        <f>'GS Pay Scale'!D15</f>
        <v>56995</v>
      </c>
      <c r="G74" s="104">
        <f>'GS Pay Scale'!E15</f>
        <v>58776</v>
      </c>
      <c r="H74" s="104">
        <f>'GS Pay Scale'!F15</f>
        <v>60557</v>
      </c>
      <c r="I74" s="104">
        <f>'GS Pay Scale'!G15</f>
        <v>62338</v>
      </c>
      <c r="J74" s="104">
        <f>'GS Pay Scale'!H15</f>
        <v>64119</v>
      </c>
      <c r="K74" s="104">
        <f>'GS Pay Scale'!I15</f>
        <v>65900</v>
      </c>
      <c r="L74" s="104">
        <f>'GS Pay Scale'!J15</f>
        <v>67681</v>
      </c>
      <c r="M74" s="104">
        <f>'GS Pay Scale'!K15</f>
        <v>69462</v>
      </c>
    </row>
    <row r="75" spans="1:13" x14ac:dyDescent="0.2">
      <c r="A75" s="98"/>
      <c r="B75" s="98">
        <v>80</v>
      </c>
      <c r="C75" s="103" t="s">
        <v>41</v>
      </c>
      <c r="D75" s="104">
        <f t="shared" ref="D75:M75" si="94">D76*80</f>
        <v>2048</v>
      </c>
      <c r="E75" s="104">
        <f t="shared" si="94"/>
        <v>2116.8000000000002</v>
      </c>
      <c r="F75" s="104">
        <f t="shared" si="94"/>
        <v>2184.7999999999997</v>
      </c>
      <c r="G75" s="104">
        <f t="shared" si="94"/>
        <v>2252.8000000000002</v>
      </c>
      <c r="H75" s="104">
        <f t="shared" si="94"/>
        <v>2321.6</v>
      </c>
      <c r="I75" s="104">
        <f t="shared" si="94"/>
        <v>2389.6</v>
      </c>
      <c r="J75" s="104">
        <f t="shared" si="94"/>
        <v>2457.6</v>
      </c>
      <c r="K75" s="104">
        <f t="shared" si="94"/>
        <v>2526.3999999999996</v>
      </c>
      <c r="L75" s="104">
        <f t="shared" si="94"/>
        <v>2594.4</v>
      </c>
      <c r="M75" s="104">
        <f t="shared" si="94"/>
        <v>2662.4</v>
      </c>
    </row>
    <row r="76" spans="1:13" x14ac:dyDescent="0.2">
      <c r="A76" s="98"/>
      <c r="B76" s="98"/>
      <c r="C76" s="103" t="s">
        <v>20</v>
      </c>
      <c r="D76" s="105">
        <f t="shared" ref="D76:M76" si="95">ROUND(D74/2087,2)</f>
        <v>25.6</v>
      </c>
      <c r="E76" s="105">
        <f t="shared" si="95"/>
        <v>26.46</v>
      </c>
      <c r="F76" s="105">
        <f t="shared" si="95"/>
        <v>27.31</v>
      </c>
      <c r="G76" s="105">
        <f t="shared" si="95"/>
        <v>28.16</v>
      </c>
      <c r="H76" s="105">
        <f t="shared" si="95"/>
        <v>29.02</v>
      </c>
      <c r="I76" s="105">
        <f t="shared" si="95"/>
        <v>29.87</v>
      </c>
      <c r="J76" s="105">
        <f t="shared" si="95"/>
        <v>30.72</v>
      </c>
      <c r="K76" s="105">
        <f t="shared" si="95"/>
        <v>31.58</v>
      </c>
      <c r="L76" s="105">
        <f t="shared" si="95"/>
        <v>32.43</v>
      </c>
      <c r="M76" s="105">
        <f t="shared" si="95"/>
        <v>33.28</v>
      </c>
    </row>
    <row r="77" spans="1:13" x14ac:dyDescent="0.2">
      <c r="A77" s="98"/>
      <c r="B77" s="98">
        <v>26</v>
      </c>
      <c r="C77" s="107" t="s">
        <v>38</v>
      </c>
      <c r="D77" s="105">
        <f t="shared" ref="D77:M77" si="96">D78*26</f>
        <v>504.14</v>
      </c>
      <c r="E77" s="105">
        <f t="shared" si="96"/>
        <v>520.78</v>
      </c>
      <c r="F77" s="105">
        <f t="shared" si="96"/>
        <v>537.67999999999995</v>
      </c>
      <c r="G77" s="105">
        <f t="shared" si="96"/>
        <v>554.57999999999993</v>
      </c>
      <c r="H77" s="105">
        <f t="shared" si="96"/>
        <v>571.22</v>
      </c>
      <c r="I77" s="105">
        <f t="shared" si="96"/>
        <v>588.12</v>
      </c>
      <c r="J77" s="105">
        <f t="shared" si="96"/>
        <v>605.02</v>
      </c>
      <c r="K77" s="105">
        <f t="shared" si="96"/>
        <v>621.66</v>
      </c>
      <c r="L77" s="105">
        <f t="shared" si="96"/>
        <v>638.55999999999995</v>
      </c>
      <c r="M77" s="105">
        <f t="shared" si="96"/>
        <v>655.19999999999993</v>
      </c>
    </row>
    <row r="78" spans="1:13" x14ac:dyDescent="0.2">
      <c r="A78" s="98"/>
      <c r="B78" s="98"/>
      <c r="C78" s="107" t="s">
        <v>13</v>
      </c>
      <c r="D78" s="105">
        <f t="shared" ref="D78:M78" si="97">ROUND(D74/2756,2)</f>
        <v>19.39</v>
      </c>
      <c r="E78" s="105">
        <f t="shared" si="97"/>
        <v>20.03</v>
      </c>
      <c r="F78" s="105">
        <f t="shared" si="97"/>
        <v>20.68</v>
      </c>
      <c r="G78" s="105">
        <f t="shared" si="97"/>
        <v>21.33</v>
      </c>
      <c r="H78" s="105">
        <f t="shared" si="97"/>
        <v>21.97</v>
      </c>
      <c r="I78" s="105">
        <f t="shared" si="97"/>
        <v>22.62</v>
      </c>
      <c r="J78" s="105">
        <f t="shared" si="97"/>
        <v>23.27</v>
      </c>
      <c r="K78" s="105">
        <f t="shared" si="97"/>
        <v>23.91</v>
      </c>
      <c r="L78" s="105">
        <f t="shared" si="97"/>
        <v>24.56</v>
      </c>
      <c r="M78" s="105">
        <f t="shared" si="97"/>
        <v>25.2</v>
      </c>
    </row>
    <row r="79" spans="1:13" x14ac:dyDescent="0.2">
      <c r="A79" s="98" t="s">
        <v>21</v>
      </c>
      <c r="B79" s="106">
        <f>($G$3-53)*2</f>
        <v>14</v>
      </c>
      <c r="C79" s="107" t="s">
        <v>39</v>
      </c>
      <c r="D79" s="105">
        <f t="shared" ref="D79:M79" si="98">D80*$B$12</f>
        <v>407.26</v>
      </c>
      <c r="E79" s="105">
        <f t="shared" si="98"/>
        <v>420.7</v>
      </c>
      <c r="F79" s="105">
        <f t="shared" si="98"/>
        <v>434.28</v>
      </c>
      <c r="G79" s="105">
        <f t="shared" si="98"/>
        <v>448</v>
      </c>
      <c r="H79" s="105">
        <f t="shared" si="98"/>
        <v>461.44</v>
      </c>
      <c r="I79" s="105">
        <f t="shared" si="98"/>
        <v>475.02</v>
      </c>
      <c r="J79" s="105">
        <f t="shared" si="98"/>
        <v>488.73999999999995</v>
      </c>
      <c r="K79" s="105">
        <f t="shared" si="98"/>
        <v>502.17999999999995</v>
      </c>
      <c r="L79" s="105">
        <f t="shared" si="98"/>
        <v>515.76</v>
      </c>
      <c r="M79" s="105">
        <f t="shared" si="98"/>
        <v>529.19999999999993</v>
      </c>
    </row>
    <row r="80" spans="1:13" x14ac:dyDescent="0.2">
      <c r="A80" s="98"/>
      <c r="B80" s="98"/>
      <c r="C80" s="107" t="s">
        <v>14</v>
      </c>
      <c r="D80" s="102">
        <f t="shared" ref="D80:M80" si="99">IF(ROUND(D78*1.5,2)&lt;$G$149,ROUND(D78*1.5,2),IF($G$149&lt;D78,D78,$G$149))</f>
        <v>29.09</v>
      </c>
      <c r="E80" s="102">
        <f t="shared" si="99"/>
        <v>30.05</v>
      </c>
      <c r="F80" s="102">
        <f t="shared" si="99"/>
        <v>31.02</v>
      </c>
      <c r="G80" s="102">
        <f t="shared" si="99"/>
        <v>32</v>
      </c>
      <c r="H80" s="102">
        <f t="shared" si="99"/>
        <v>32.96</v>
      </c>
      <c r="I80" s="102">
        <f t="shared" si="99"/>
        <v>33.93</v>
      </c>
      <c r="J80" s="102">
        <f t="shared" si="99"/>
        <v>34.909999999999997</v>
      </c>
      <c r="K80" s="102">
        <f t="shared" si="99"/>
        <v>35.869999999999997</v>
      </c>
      <c r="L80" s="102">
        <f t="shared" si="99"/>
        <v>36.840000000000003</v>
      </c>
      <c r="M80" s="102">
        <f t="shared" si="99"/>
        <v>37.799999999999997</v>
      </c>
    </row>
    <row r="81" spans="1:13" x14ac:dyDescent="0.2">
      <c r="A81" s="108"/>
      <c r="B81" s="108"/>
      <c r="C81" s="103" t="s">
        <v>43</v>
      </c>
      <c r="D81" s="102">
        <f>(ROUND(D76*'Start Page'!$G$46,2)*80)+(ROUND(D78*'Start Page'!$G$46,2)*($B$15-80))</f>
        <v>0</v>
      </c>
      <c r="E81" s="102">
        <f>(ROUND(E76*'Start Page'!$G$46,2)*80)+(ROUND(E78*'Start Page'!$G$46,2)*($B$15-80))</f>
        <v>0</v>
      </c>
      <c r="F81" s="102">
        <f>(ROUND(F76*'Start Page'!$G$46,2)*80)+(ROUND(F78*'Start Page'!$G$46,2)*($B$15-80))</f>
        <v>0</v>
      </c>
      <c r="G81" s="102">
        <f>(ROUND(G76*'Start Page'!$G$46,2)*80)+(ROUND(G78*'Start Page'!$G$46,2)*($B$15-80))</f>
        <v>0</v>
      </c>
      <c r="H81" s="102">
        <f>(ROUND(H76*'Start Page'!$G$46,2)*80)+(ROUND(H78*'Start Page'!$G$46,2)*($B$15-80))</f>
        <v>0</v>
      </c>
      <c r="I81" s="102">
        <f>(ROUND(I76*'Start Page'!$G$46,2)*80)+(ROUND(I78*'Start Page'!$G$46,2)*($B$15-80))</f>
        <v>0</v>
      </c>
      <c r="J81" s="102">
        <f>(ROUND(J76*'Start Page'!$G$46,2)*80)+(ROUND(J78*'Start Page'!$G$46,2)*($B$15-80))</f>
        <v>0</v>
      </c>
      <c r="K81" s="102">
        <f>(ROUND(K76*'Start Page'!$G$46,2)*80)+(ROUND(K78*'Start Page'!$G$46,2)*($B$15-80))</f>
        <v>0</v>
      </c>
      <c r="L81" s="102">
        <f>(ROUND(L76*'Start Page'!$G$46,2)*80)+(ROUND(L78*'Start Page'!$G$46,2)*($B$15-80))</f>
        <v>0</v>
      </c>
      <c r="M81" s="102">
        <f>(ROUND(M76*'Start Page'!$G$46,2)*80)+(ROUND(M78*'Start Page'!$G$46,2)*($B$15-80))</f>
        <v>0</v>
      </c>
    </row>
    <row r="82" spans="1:13" x14ac:dyDescent="0.2">
      <c r="A82" s="98"/>
      <c r="B82" s="98">
        <f>B75+B77+B79</f>
        <v>120</v>
      </c>
      <c r="C82" s="115" t="s">
        <v>17</v>
      </c>
      <c r="D82" s="138">
        <f t="shared" ref="D82:M82" si="100">D75+D77+D79+D81</f>
        <v>2959.3999999999996</v>
      </c>
      <c r="E82" s="138">
        <f t="shared" si="100"/>
        <v>3058.2799999999997</v>
      </c>
      <c r="F82" s="138">
        <f t="shared" si="100"/>
        <v>3156.7599999999993</v>
      </c>
      <c r="G82" s="138">
        <f t="shared" si="100"/>
        <v>3255.38</v>
      </c>
      <c r="H82" s="138">
        <f t="shared" si="100"/>
        <v>3354.2599999999998</v>
      </c>
      <c r="I82" s="138">
        <f t="shared" si="100"/>
        <v>3452.74</v>
      </c>
      <c r="J82" s="138">
        <f t="shared" si="100"/>
        <v>3551.3599999999997</v>
      </c>
      <c r="K82" s="138">
        <f t="shared" si="100"/>
        <v>3650.2399999999993</v>
      </c>
      <c r="L82" s="138">
        <f t="shared" si="100"/>
        <v>3748.7200000000003</v>
      </c>
      <c r="M82" s="138">
        <f t="shared" si="100"/>
        <v>3846.7999999999997</v>
      </c>
    </row>
    <row r="83" spans="1:13" x14ac:dyDescent="0.2">
      <c r="A83" s="98"/>
      <c r="B83" s="98"/>
      <c r="C83" s="115" t="s">
        <v>33</v>
      </c>
      <c r="D83" s="138">
        <f>D82*26</f>
        <v>76944.399999999994</v>
      </c>
      <c r="E83" s="138">
        <f t="shared" ref="E83" si="101">E82*26</f>
        <v>79515.28</v>
      </c>
      <c r="F83" s="138">
        <f t="shared" ref="F83" si="102">F82*26</f>
        <v>82075.75999999998</v>
      </c>
      <c r="G83" s="138">
        <f t="shared" ref="G83" si="103">G82*26</f>
        <v>84639.88</v>
      </c>
      <c r="H83" s="138">
        <f t="shared" ref="H83" si="104">H82*26</f>
        <v>87210.76</v>
      </c>
      <c r="I83" s="138">
        <f t="shared" ref="I83" si="105">I82*26</f>
        <v>89771.239999999991</v>
      </c>
      <c r="J83" s="138">
        <f t="shared" ref="J83" si="106">J82*26</f>
        <v>92335.359999999986</v>
      </c>
      <c r="K83" s="138">
        <f t="shared" ref="K83" si="107">K82*26</f>
        <v>94906.239999999976</v>
      </c>
      <c r="L83" s="138">
        <f t="shared" ref="L83" si="108">L82*26</f>
        <v>97466.72</v>
      </c>
      <c r="M83" s="138">
        <f t="shared" ref="M83" si="109">M82*26</f>
        <v>100016.79999999999</v>
      </c>
    </row>
    <row r="84" spans="1:13" s="134" customFormat="1" x14ac:dyDescent="0.2">
      <c r="A84" s="112"/>
      <c r="B84" s="112"/>
      <c r="C84" s="113" t="s">
        <v>66</v>
      </c>
      <c r="D84" s="139">
        <f>((D76*80)+(D78*($B$15-80)))*26</f>
        <v>73413.599999999991</v>
      </c>
      <c r="E84" s="139">
        <f t="shared" ref="E84:M84" si="110">((E76*80)+(E78*($B$15-80)))*26</f>
        <v>75868</v>
      </c>
      <c r="F84" s="139">
        <f t="shared" si="110"/>
        <v>78312</v>
      </c>
      <c r="G84" s="139">
        <f t="shared" si="110"/>
        <v>80756</v>
      </c>
      <c r="H84" s="139">
        <f t="shared" si="110"/>
        <v>83210.399999999994</v>
      </c>
      <c r="I84" s="139">
        <f t="shared" si="110"/>
        <v>85654.400000000009</v>
      </c>
      <c r="J84" s="139">
        <f t="shared" si="110"/>
        <v>88098.4</v>
      </c>
      <c r="K84" s="139">
        <f t="shared" si="110"/>
        <v>90552.799999999988</v>
      </c>
      <c r="L84" s="139">
        <f t="shared" si="110"/>
        <v>92996.800000000003</v>
      </c>
      <c r="M84" s="116">
        <f t="shared" si="110"/>
        <v>95430.400000000009</v>
      </c>
    </row>
    <row r="85" spans="1:13" x14ac:dyDescent="0.2">
      <c r="A85" s="97"/>
      <c r="B85" s="97"/>
      <c r="C85" s="128" t="s">
        <v>30</v>
      </c>
      <c r="D85" s="104">
        <f>'GS Pay Scale'!B16</f>
        <v>58842</v>
      </c>
      <c r="E85" s="104">
        <f>'GS Pay Scale'!C16</f>
        <v>60804</v>
      </c>
      <c r="F85" s="104">
        <f>'GS Pay Scale'!D16</f>
        <v>62766</v>
      </c>
      <c r="G85" s="104">
        <f>'GS Pay Scale'!E16</f>
        <v>64728</v>
      </c>
      <c r="H85" s="104">
        <f>'GS Pay Scale'!F16</f>
        <v>66690</v>
      </c>
      <c r="I85" s="104">
        <f>'GS Pay Scale'!G16</f>
        <v>68652</v>
      </c>
      <c r="J85" s="104">
        <f>'GS Pay Scale'!H16</f>
        <v>70614</v>
      </c>
      <c r="K85" s="104">
        <f>'GS Pay Scale'!I16</f>
        <v>72575</v>
      </c>
      <c r="L85" s="104">
        <f>'GS Pay Scale'!J16</f>
        <v>74537</v>
      </c>
      <c r="M85" s="104">
        <f>'GS Pay Scale'!K16</f>
        <v>76499</v>
      </c>
    </row>
    <row r="86" spans="1:13" x14ac:dyDescent="0.2">
      <c r="A86" s="98"/>
      <c r="B86" s="98">
        <v>80</v>
      </c>
      <c r="C86" s="103" t="s">
        <v>41</v>
      </c>
      <c r="D86" s="104">
        <f t="shared" ref="D86:M86" si="111">D87*80</f>
        <v>2255.2000000000003</v>
      </c>
      <c r="E86" s="104">
        <f t="shared" si="111"/>
        <v>2330.4</v>
      </c>
      <c r="F86" s="104">
        <f t="shared" si="111"/>
        <v>2405.6</v>
      </c>
      <c r="G86" s="104">
        <f t="shared" si="111"/>
        <v>2480.8000000000002</v>
      </c>
      <c r="H86" s="104">
        <f t="shared" si="111"/>
        <v>2556</v>
      </c>
      <c r="I86" s="104">
        <f t="shared" si="111"/>
        <v>2632</v>
      </c>
      <c r="J86" s="104">
        <f t="shared" si="111"/>
        <v>2707.2000000000003</v>
      </c>
      <c r="K86" s="104">
        <f t="shared" si="111"/>
        <v>2781.6000000000004</v>
      </c>
      <c r="L86" s="104">
        <f t="shared" si="111"/>
        <v>2856.8</v>
      </c>
      <c r="M86" s="104">
        <f t="shared" si="111"/>
        <v>2932.7999999999997</v>
      </c>
    </row>
    <row r="87" spans="1:13" x14ac:dyDescent="0.2">
      <c r="A87" s="98"/>
      <c r="B87" s="98"/>
      <c r="C87" s="103" t="s">
        <v>20</v>
      </c>
      <c r="D87" s="105">
        <f t="shared" ref="D87:M87" si="112">ROUND(D85/2087,2)</f>
        <v>28.19</v>
      </c>
      <c r="E87" s="105">
        <f t="shared" si="112"/>
        <v>29.13</v>
      </c>
      <c r="F87" s="105">
        <f t="shared" si="112"/>
        <v>30.07</v>
      </c>
      <c r="G87" s="105">
        <f t="shared" si="112"/>
        <v>31.01</v>
      </c>
      <c r="H87" s="105">
        <f t="shared" si="112"/>
        <v>31.95</v>
      </c>
      <c r="I87" s="105">
        <f t="shared" si="112"/>
        <v>32.9</v>
      </c>
      <c r="J87" s="105">
        <f t="shared" si="112"/>
        <v>33.840000000000003</v>
      </c>
      <c r="K87" s="105">
        <f t="shared" si="112"/>
        <v>34.770000000000003</v>
      </c>
      <c r="L87" s="105">
        <f t="shared" si="112"/>
        <v>35.71</v>
      </c>
      <c r="M87" s="105">
        <f t="shared" si="112"/>
        <v>36.659999999999997</v>
      </c>
    </row>
    <row r="88" spans="1:13" x14ac:dyDescent="0.2">
      <c r="A88" s="98"/>
      <c r="B88" s="98">
        <v>26</v>
      </c>
      <c r="C88" s="107" t="s">
        <v>38</v>
      </c>
      <c r="D88" s="105">
        <f t="shared" ref="D88:M88" si="113">D89*26</f>
        <v>555.1</v>
      </c>
      <c r="E88" s="105">
        <f t="shared" si="113"/>
        <v>573.55999999999995</v>
      </c>
      <c r="F88" s="105">
        <f t="shared" si="113"/>
        <v>592.02</v>
      </c>
      <c r="G88" s="105">
        <f t="shared" si="113"/>
        <v>610.74</v>
      </c>
      <c r="H88" s="105">
        <f t="shared" si="113"/>
        <v>629.19999999999993</v>
      </c>
      <c r="I88" s="105">
        <f t="shared" si="113"/>
        <v>647.66</v>
      </c>
      <c r="J88" s="105">
        <f t="shared" si="113"/>
        <v>666.12</v>
      </c>
      <c r="K88" s="105">
        <f t="shared" si="113"/>
        <v>684.57999999999993</v>
      </c>
      <c r="L88" s="105">
        <f t="shared" si="113"/>
        <v>703.30000000000007</v>
      </c>
      <c r="M88" s="105">
        <f t="shared" si="113"/>
        <v>721.76</v>
      </c>
    </row>
    <row r="89" spans="1:13" x14ac:dyDescent="0.2">
      <c r="A89" s="98"/>
      <c r="B89" s="98"/>
      <c r="C89" s="107" t="s">
        <v>13</v>
      </c>
      <c r="D89" s="105">
        <f t="shared" ref="D89:M89" si="114">ROUND(D85/2756,2)</f>
        <v>21.35</v>
      </c>
      <c r="E89" s="105">
        <f t="shared" si="114"/>
        <v>22.06</v>
      </c>
      <c r="F89" s="105">
        <f t="shared" si="114"/>
        <v>22.77</v>
      </c>
      <c r="G89" s="105">
        <f t="shared" si="114"/>
        <v>23.49</v>
      </c>
      <c r="H89" s="105">
        <f t="shared" si="114"/>
        <v>24.2</v>
      </c>
      <c r="I89" s="105">
        <f t="shared" si="114"/>
        <v>24.91</v>
      </c>
      <c r="J89" s="105">
        <f t="shared" si="114"/>
        <v>25.62</v>
      </c>
      <c r="K89" s="105">
        <f t="shared" si="114"/>
        <v>26.33</v>
      </c>
      <c r="L89" s="105">
        <f t="shared" si="114"/>
        <v>27.05</v>
      </c>
      <c r="M89" s="105">
        <f t="shared" si="114"/>
        <v>27.76</v>
      </c>
    </row>
    <row r="90" spans="1:13" x14ac:dyDescent="0.2">
      <c r="A90" s="98" t="s">
        <v>25</v>
      </c>
      <c r="B90" s="106">
        <f>($G$3-53)*2</f>
        <v>14</v>
      </c>
      <c r="C90" s="107" t="s">
        <v>39</v>
      </c>
      <c r="D90" s="105">
        <f t="shared" ref="D90:M90" si="115">D91*$B$12</f>
        <v>448.42</v>
      </c>
      <c r="E90" s="105">
        <f t="shared" si="115"/>
        <v>463.26000000000005</v>
      </c>
      <c r="F90" s="105">
        <f t="shared" si="115"/>
        <v>478.23999999999995</v>
      </c>
      <c r="G90" s="105">
        <f t="shared" si="115"/>
        <v>493.36</v>
      </c>
      <c r="H90" s="105">
        <f t="shared" si="115"/>
        <v>508.19999999999993</v>
      </c>
      <c r="I90" s="105">
        <f t="shared" si="115"/>
        <v>523.17999999999995</v>
      </c>
      <c r="J90" s="105">
        <f t="shared" si="115"/>
        <v>538.02</v>
      </c>
      <c r="K90" s="105">
        <f t="shared" si="115"/>
        <v>553</v>
      </c>
      <c r="L90" s="105">
        <f t="shared" si="115"/>
        <v>568.12</v>
      </c>
      <c r="M90" s="105">
        <f t="shared" si="115"/>
        <v>582.96</v>
      </c>
    </row>
    <row r="91" spans="1:13" x14ac:dyDescent="0.2">
      <c r="A91" s="98"/>
      <c r="B91" s="98"/>
      <c r="C91" s="107" t="s">
        <v>14</v>
      </c>
      <c r="D91" s="102">
        <f t="shared" ref="D91:M91" si="116">IF(ROUND(D89*1.5,2)&lt;$G$149,ROUND(D89*1.5,2),IF($G$149&lt;D89,D89,$G$149))</f>
        <v>32.03</v>
      </c>
      <c r="E91" s="102">
        <f t="shared" si="116"/>
        <v>33.090000000000003</v>
      </c>
      <c r="F91" s="102">
        <f t="shared" si="116"/>
        <v>34.159999999999997</v>
      </c>
      <c r="G91" s="102">
        <f t="shared" si="116"/>
        <v>35.24</v>
      </c>
      <c r="H91" s="102">
        <f t="shared" si="116"/>
        <v>36.299999999999997</v>
      </c>
      <c r="I91" s="102">
        <f t="shared" si="116"/>
        <v>37.369999999999997</v>
      </c>
      <c r="J91" s="102">
        <f t="shared" si="116"/>
        <v>38.43</v>
      </c>
      <c r="K91" s="102">
        <f t="shared" si="116"/>
        <v>39.5</v>
      </c>
      <c r="L91" s="102">
        <f t="shared" si="116"/>
        <v>40.58</v>
      </c>
      <c r="M91" s="102">
        <f t="shared" si="116"/>
        <v>41.64</v>
      </c>
    </row>
    <row r="92" spans="1:13" x14ac:dyDescent="0.2">
      <c r="A92" s="108"/>
      <c r="B92" s="108"/>
      <c r="C92" s="103" t="s">
        <v>43</v>
      </c>
      <c r="D92" s="102">
        <f>(ROUND(D87*'Start Page'!$G$46,2)*80)+(ROUND(D89*'Start Page'!$G$46,2)*($B$15-80))</f>
        <v>0</v>
      </c>
      <c r="E92" s="102">
        <f>(ROUND(E87*'Start Page'!$G$46,2)*80)+(ROUND(E89*'Start Page'!$G$46,2)*($B$15-80))</f>
        <v>0</v>
      </c>
      <c r="F92" s="102">
        <f>(ROUND(F87*'Start Page'!$G$46,2)*80)+(ROUND(F89*'Start Page'!$G$46,2)*($B$15-80))</f>
        <v>0</v>
      </c>
      <c r="G92" s="102">
        <f>(ROUND(G87*'Start Page'!$G$46,2)*80)+(ROUND(G89*'Start Page'!$G$46,2)*($B$15-80))</f>
        <v>0</v>
      </c>
      <c r="H92" s="102">
        <f>(ROUND(H87*'Start Page'!$G$46,2)*80)+(ROUND(H89*'Start Page'!$G$46,2)*($B$15-80))</f>
        <v>0</v>
      </c>
      <c r="I92" s="102">
        <f>(ROUND(I87*'Start Page'!$G$46,2)*80)+(ROUND(I89*'Start Page'!$G$46,2)*($B$15-80))</f>
        <v>0</v>
      </c>
      <c r="J92" s="102">
        <f>(ROUND(J87*'Start Page'!$G$46,2)*80)+(ROUND(J89*'Start Page'!$G$46,2)*($B$15-80))</f>
        <v>0</v>
      </c>
      <c r="K92" s="102">
        <f>(ROUND(K87*'Start Page'!$G$46,2)*80)+(ROUND(K89*'Start Page'!$G$46,2)*($B$15-80))</f>
        <v>0</v>
      </c>
      <c r="L92" s="102">
        <f>(ROUND(L87*'Start Page'!$G$46,2)*80)+(ROUND(L89*'Start Page'!$G$46,2)*($B$15-80))</f>
        <v>0</v>
      </c>
      <c r="M92" s="102">
        <f>(ROUND(M87*'Start Page'!$G$46,2)*80)+(ROUND(M89*'Start Page'!$G$46,2)*($B$15-80))</f>
        <v>0</v>
      </c>
    </row>
    <row r="93" spans="1:13" x14ac:dyDescent="0.2">
      <c r="A93" s="98"/>
      <c r="B93" s="98">
        <f>B86+B88+B90</f>
        <v>120</v>
      </c>
      <c r="C93" s="115" t="s">
        <v>17</v>
      </c>
      <c r="D93" s="138">
        <f t="shared" ref="D93:M93" si="117">D86+D88+D90+D92</f>
        <v>3258.7200000000003</v>
      </c>
      <c r="E93" s="138">
        <f t="shared" si="117"/>
        <v>3367.2200000000003</v>
      </c>
      <c r="F93" s="138">
        <f t="shared" si="117"/>
        <v>3475.8599999999997</v>
      </c>
      <c r="G93" s="138">
        <f t="shared" si="117"/>
        <v>3584.9</v>
      </c>
      <c r="H93" s="138">
        <f t="shared" si="117"/>
        <v>3693.3999999999996</v>
      </c>
      <c r="I93" s="138">
        <f t="shared" si="117"/>
        <v>3802.8399999999997</v>
      </c>
      <c r="J93" s="138">
        <f t="shared" si="117"/>
        <v>3911.34</v>
      </c>
      <c r="K93" s="138">
        <f t="shared" si="117"/>
        <v>4019.1800000000003</v>
      </c>
      <c r="L93" s="138">
        <f t="shared" si="117"/>
        <v>4128.22</v>
      </c>
      <c r="M93" s="138">
        <f t="shared" si="117"/>
        <v>4237.5199999999995</v>
      </c>
    </row>
    <row r="94" spans="1:13" x14ac:dyDescent="0.2">
      <c r="A94" s="98"/>
      <c r="B94" s="98"/>
      <c r="C94" s="115" t="s">
        <v>33</v>
      </c>
      <c r="D94" s="138">
        <f>D93*26</f>
        <v>84726.720000000001</v>
      </c>
      <c r="E94" s="138">
        <f t="shared" ref="E94" si="118">E93*26</f>
        <v>87547.72</v>
      </c>
      <c r="F94" s="138">
        <f t="shared" ref="F94" si="119">F93*26</f>
        <v>90372.359999999986</v>
      </c>
      <c r="G94" s="138">
        <f t="shared" ref="G94" si="120">G93*26</f>
        <v>93207.400000000009</v>
      </c>
      <c r="H94" s="138">
        <f t="shared" ref="H94" si="121">H93*26</f>
        <v>96028.4</v>
      </c>
      <c r="I94" s="138">
        <f t="shared" ref="I94" si="122">I93*26</f>
        <v>98873.84</v>
      </c>
      <c r="J94" s="138">
        <f t="shared" ref="J94" si="123">J93*26</f>
        <v>101694.84</v>
      </c>
      <c r="K94" s="138">
        <f t="shared" ref="K94" si="124">K93*26</f>
        <v>104498.68000000001</v>
      </c>
      <c r="L94" s="138">
        <f t="shared" ref="L94" si="125">L93*26</f>
        <v>107333.72</v>
      </c>
      <c r="M94" s="138">
        <f t="shared" ref="M94" si="126">M93*26</f>
        <v>110175.51999999999</v>
      </c>
    </row>
    <row r="95" spans="1:13" s="134" customFormat="1" x14ac:dyDescent="0.2">
      <c r="A95" s="112"/>
      <c r="B95" s="112"/>
      <c r="C95" s="113" t="s">
        <v>66</v>
      </c>
      <c r="D95" s="139">
        <f>((D87*80)+(D89*($B$15-80)))*26</f>
        <v>80839.200000000012</v>
      </c>
      <c r="E95" s="139">
        <f t="shared" ref="E95:M95" si="127">((E87*80)+(E89*($B$15-80)))*26</f>
        <v>83532.800000000003</v>
      </c>
      <c r="F95" s="139">
        <f t="shared" si="127"/>
        <v>86226.4</v>
      </c>
      <c r="G95" s="139">
        <f t="shared" si="127"/>
        <v>88930.400000000009</v>
      </c>
      <c r="H95" s="139">
        <f t="shared" si="127"/>
        <v>91624</v>
      </c>
      <c r="I95" s="139">
        <f t="shared" si="127"/>
        <v>94338.400000000009</v>
      </c>
      <c r="J95" s="139">
        <f t="shared" si="127"/>
        <v>97032</v>
      </c>
      <c r="K95" s="139">
        <f t="shared" si="127"/>
        <v>99704.8</v>
      </c>
      <c r="L95" s="139">
        <f t="shared" si="127"/>
        <v>102408.8</v>
      </c>
      <c r="M95" s="116">
        <f t="shared" si="127"/>
        <v>105123.2</v>
      </c>
    </row>
    <row r="96" spans="1:13" x14ac:dyDescent="0.2">
      <c r="A96" s="96" t="s">
        <v>0</v>
      </c>
      <c r="B96" s="96" t="s">
        <v>40</v>
      </c>
      <c r="C96" s="96" t="s">
        <v>1</v>
      </c>
      <c r="D96" s="96" t="s">
        <v>2</v>
      </c>
      <c r="E96" s="96" t="s">
        <v>3</v>
      </c>
      <c r="F96" s="96" t="s">
        <v>4</v>
      </c>
      <c r="G96" s="96" t="s">
        <v>5</v>
      </c>
      <c r="H96" s="96" t="s">
        <v>6</v>
      </c>
      <c r="I96" s="96" t="s">
        <v>7</v>
      </c>
      <c r="J96" s="96" t="s">
        <v>8</v>
      </c>
      <c r="K96" s="96" t="s">
        <v>9</v>
      </c>
      <c r="L96" s="96" t="s">
        <v>10</v>
      </c>
      <c r="M96" s="96" t="s">
        <v>11</v>
      </c>
    </row>
    <row r="97" spans="1:13" x14ac:dyDescent="0.2">
      <c r="A97" s="97"/>
      <c r="B97" s="97"/>
      <c r="C97" s="128" t="s">
        <v>30</v>
      </c>
      <c r="D97" s="104">
        <f>'GS Pay Scale'!B17</f>
        <v>64649</v>
      </c>
      <c r="E97" s="104">
        <f>'GS Pay Scale'!C17</f>
        <v>66805</v>
      </c>
      <c r="F97" s="104">
        <f>'GS Pay Scale'!D17</f>
        <v>68960</v>
      </c>
      <c r="G97" s="104">
        <f>'GS Pay Scale'!E17</f>
        <v>71116</v>
      </c>
      <c r="H97" s="104">
        <f>'GS Pay Scale'!F17</f>
        <v>73271</v>
      </c>
      <c r="I97" s="104">
        <f>'GS Pay Scale'!G17</f>
        <v>75427</v>
      </c>
      <c r="J97" s="104">
        <f>'GS Pay Scale'!H17</f>
        <v>77582</v>
      </c>
      <c r="K97" s="104">
        <f>'GS Pay Scale'!I17</f>
        <v>79738</v>
      </c>
      <c r="L97" s="104">
        <f>'GS Pay Scale'!J17</f>
        <v>81893</v>
      </c>
      <c r="M97" s="104">
        <f>'GS Pay Scale'!K17</f>
        <v>84049</v>
      </c>
    </row>
    <row r="98" spans="1:13" x14ac:dyDescent="0.2">
      <c r="A98" s="98"/>
      <c r="B98" s="98">
        <v>80</v>
      </c>
      <c r="C98" s="103" t="s">
        <v>41</v>
      </c>
      <c r="D98" s="104">
        <f t="shared" ref="D98:M98" si="128">D99*80</f>
        <v>2478.4</v>
      </c>
      <c r="E98" s="104">
        <f t="shared" si="128"/>
        <v>2560.7999999999997</v>
      </c>
      <c r="F98" s="104">
        <f t="shared" si="128"/>
        <v>2643.2</v>
      </c>
      <c r="G98" s="104">
        <f t="shared" si="128"/>
        <v>2726.3999999999996</v>
      </c>
      <c r="H98" s="104">
        <f t="shared" si="128"/>
        <v>2808.8</v>
      </c>
      <c r="I98" s="104">
        <f t="shared" si="128"/>
        <v>2891.2</v>
      </c>
      <c r="J98" s="104">
        <f t="shared" si="128"/>
        <v>2973.6000000000004</v>
      </c>
      <c r="K98" s="104">
        <f t="shared" si="128"/>
        <v>3056.8</v>
      </c>
      <c r="L98" s="104">
        <f t="shared" si="128"/>
        <v>3139.2000000000003</v>
      </c>
      <c r="M98" s="104">
        <f t="shared" si="128"/>
        <v>3221.6000000000004</v>
      </c>
    </row>
    <row r="99" spans="1:13" x14ac:dyDescent="0.2">
      <c r="A99" s="98"/>
      <c r="B99" s="98"/>
      <c r="C99" s="103" t="s">
        <v>20</v>
      </c>
      <c r="D99" s="105">
        <f>ROUND(D97/2087,2)</f>
        <v>30.98</v>
      </c>
      <c r="E99" s="105">
        <f t="shared" ref="E99:M99" si="129">ROUND(E97/2087,2)</f>
        <v>32.01</v>
      </c>
      <c r="F99" s="105">
        <f t="shared" si="129"/>
        <v>33.04</v>
      </c>
      <c r="G99" s="105">
        <f t="shared" si="129"/>
        <v>34.08</v>
      </c>
      <c r="H99" s="105">
        <f t="shared" si="129"/>
        <v>35.11</v>
      </c>
      <c r="I99" s="105">
        <f t="shared" si="129"/>
        <v>36.14</v>
      </c>
      <c r="J99" s="105">
        <f t="shared" si="129"/>
        <v>37.17</v>
      </c>
      <c r="K99" s="105">
        <f t="shared" si="129"/>
        <v>38.21</v>
      </c>
      <c r="L99" s="105">
        <f t="shared" si="129"/>
        <v>39.24</v>
      </c>
      <c r="M99" s="105">
        <f t="shared" si="129"/>
        <v>40.270000000000003</v>
      </c>
    </row>
    <row r="100" spans="1:13" x14ac:dyDescent="0.2">
      <c r="A100" s="98"/>
      <c r="B100" s="98">
        <v>26</v>
      </c>
      <c r="C100" s="107" t="s">
        <v>38</v>
      </c>
      <c r="D100" s="105">
        <f t="shared" ref="D100:M100" si="130">D101*26</f>
        <v>609.96</v>
      </c>
      <c r="E100" s="105">
        <f t="shared" si="130"/>
        <v>630.24</v>
      </c>
      <c r="F100" s="105">
        <f t="shared" si="130"/>
        <v>650.52</v>
      </c>
      <c r="G100" s="105">
        <f t="shared" si="130"/>
        <v>670.80000000000007</v>
      </c>
      <c r="H100" s="105">
        <f t="shared" si="130"/>
        <v>691.34</v>
      </c>
      <c r="I100" s="105">
        <f t="shared" si="130"/>
        <v>711.62</v>
      </c>
      <c r="J100" s="105">
        <f t="shared" si="130"/>
        <v>731.9</v>
      </c>
      <c r="K100" s="105">
        <f t="shared" si="130"/>
        <v>752.18</v>
      </c>
      <c r="L100" s="105">
        <f t="shared" si="130"/>
        <v>772.46</v>
      </c>
      <c r="M100" s="105">
        <f t="shared" si="130"/>
        <v>793</v>
      </c>
    </row>
    <row r="101" spans="1:13" x14ac:dyDescent="0.2">
      <c r="A101" s="98"/>
      <c r="B101" s="98"/>
      <c r="C101" s="107" t="s">
        <v>13</v>
      </c>
      <c r="D101" s="105">
        <f>ROUND(D97/2756,2)</f>
        <v>23.46</v>
      </c>
      <c r="E101" s="105">
        <f t="shared" ref="E101:M101" si="131">ROUND(E97/2756,2)</f>
        <v>24.24</v>
      </c>
      <c r="F101" s="105">
        <f t="shared" si="131"/>
        <v>25.02</v>
      </c>
      <c r="G101" s="105">
        <f t="shared" si="131"/>
        <v>25.8</v>
      </c>
      <c r="H101" s="105">
        <f t="shared" si="131"/>
        <v>26.59</v>
      </c>
      <c r="I101" s="105">
        <f t="shared" si="131"/>
        <v>27.37</v>
      </c>
      <c r="J101" s="105">
        <f t="shared" si="131"/>
        <v>28.15</v>
      </c>
      <c r="K101" s="105">
        <f t="shared" si="131"/>
        <v>28.93</v>
      </c>
      <c r="L101" s="105">
        <f t="shared" si="131"/>
        <v>29.71</v>
      </c>
      <c r="M101" s="105">
        <f t="shared" si="131"/>
        <v>30.5</v>
      </c>
    </row>
    <row r="102" spans="1:13" x14ac:dyDescent="0.2">
      <c r="A102" s="98" t="s">
        <v>16</v>
      </c>
      <c r="B102" s="106">
        <f>($G$3-53)*2</f>
        <v>14</v>
      </c>
      <c r="C102" s="107" t="s">
        <v>39</v>
      </c>
      <c r="D102" s="105">
        <f t="shared" ref="D102:M102" si="132">D103*$B$12</f>
        <v>492.65999999999997</v>
      </c>
      <c r="E102" s="105">
        <f t="shared" si="132"/>
        <v>509.03999999999996</v>
      </c>
      <c r="F102" s="105">
        <f t="shared" si="132"/>
        <v>525.42000000000007</v>
      </c>
      <c r="G102" s="105">
        <f t="shared" si="132"/>
        <v>541.80000000000007</v>
      </c>
      <c r="H102" s="105">
        <f t="shared" si="132"/>
        <v>558.46</v>
      </c>
      <c r="I102" s="105">
        <f t="shared" si="132"/>
        <v>574.84</v>
      </c>
      <c r="J102" s="105">
        <f t="shared" si="132"/>
        <v>591.21999999999991</v>
      </c>
      <c r="K102" s="105">
        <f t="shared" si="132"/>
        <v>592.05999999999995</v>
      </c>
      <c r="L102" s="105">
        <f t="shared" si="132"/>
        <v>592.05999999999995</v>
      </c>
      <c r="M102" s="105">
        <f t="shared" si="132"/>
        <v>592.05999999999995</v>
      </c>
    </row>
    <row r="103" spans="1:13" x14ac:dyDescent="0.2">
      <c r="A103" s="98"/>
      <c r="B103" s="98"/>
      <c r="C103" s="107" t="s">
        <v>14</v>
      </c>
      <c r="D103" s="102">
        <f>IF(ROUND(D101*1.5,2)&lt;$G$149,ROUND(D101*1.5,2),IF($G$149&lt;D101,D101,$G$149))</f>
        <v>35.19</v>
      </c>
      <c r="E103" s="102">
        <f t="shared" ref="E103:M103" si="133">IF(ROUND(E101*1.5,2)&lt;$G$149,ROUND(E101*1.5,2),IF($G$149&lt;E101,E101,$G$149))</f>
        <v>36.36</v>
      </c>
      <c r="F103" s="102">
        <f t="shared" si="133"/>
        <v>37.53</v>
      </c>
      <c r="G103" s="102">
        <f t="shared" si="133"/>
        <v>38.700000000000003</v>
      </c>
      <c r="H103" s="102">
        <f t="shared" si="133"/>
        <v>39.89</v>
      </c>
      <c r="I103" s="102">
        <f t="shared" si="133"/>
        <v>41.06</v>
      </c>
      <c r="J103" s="102">
        <f t="shared" si="133"/>
        <v>42.23</v>
      </c>
      <c r="K103" s="102">
        <f t="shared" si="133"/>
        <v>42.29</v>
      </c>
      <c r="L103" s="102">
        <f t="shared" si="133"/>
        <v>42.29</v>
      </c>
      <c r="M103" s="102">
        <f t="shared" si="133"/>
        <v>42.29</v>
      </c>
    </row>
    <row r="104" spans="1:13" x14ac:dyDescent="0.2">
      <c r="A104" s="108"/>
      <c r="B104" s="108"/>
      <c r="C104" s="103" t="s">
        <v>43</v>
      </c>
      <c r="D104" s="102">
        <f>(ROUND(D99*'Start Page'!$G$46,2)*80)+(ROUND(D101*'Start Page'!$G$46,2)*($B$15-80))</f>
        <v>0</v>
      </c>
      <c r="E104" s="102">
        <f>(ROUND(E99*'Start Page'!$G$46,2)*80)+(ROUND(E101*'Start Page'!$G$46,2)*($B$15-80))</f>
        <v>0</v>
      </c>
      <c r="F104" s="102">
        <f>(ROUND(F99*'Start Page'!$G$46,2)*80)+(ROUND(F101*'Start Page'!$G$46,2)*($B$15-80))</f>
        <v>0</v>
      </c>
      <c r="G104" s="102">
        <f>(ROUND(G99*'Start Page'!$G$46,2)*80)+(ROUND(G101*'Start Page'!$G$46,2)*($B$15-80))</f>
        <v>0</v>
      </c>
      <c r="H104" s="102">
        <f>(ROUND(H99*'Start Page'!$G$46,2)*80)+(ROUND(H101*'Start Page'!$G$46,2)*($B$15-80))</f>
        <v>0</v>
      </c>
      <c r="I104" s="102">
        <f>(ROUND(I99*'Start Page'!$G$46,2)*80)+(ROUND(I101*'Start Page'!$G$46,2)*($B$15-80))</f>
        <v>0</v>
      </c>
      <c r="J104" s="102">
        <f>(ROUND(J99*'Start Page'!$G$46,2)*80)+(ROUND(J101*'Start Page'!$G$46,2)*($B$15-80))</f>
        <v>0</v>
      </c>
      <c r="K104" s="102">
        <f>(ROUND(K99*'Start Page'!$G$46,2)*80)+(ROUND(K101*'Start Page'!$G$46,2)*($B$15-80))</f>
        <v>0</v>
      </c>
      <c r="L104" s="102">
        <f>(ROUND(L99*'Start Page'!$G$46,2)*80)+(ROUND(L101*'Start Page'!$G$46,2)*($B$15-80))</f>
        <v>0</v>
      </c>
      <c r="M104" s="102">
        <f>(ROUND(M99*'Start Page'!$G$46,2)*80)+(ROUND(M101*'Start Page'!$G$46,2)*($B$15-80))</f>
        <v>0</v>
      </c>
    </row>
    <row r="105" spans="1:13" x14ac:dyDescent="0.2">
      <c r="A105" s="98"/>
      <c r="B105" s="98">
        <f>B98+B100+B102</f>
        <v>120</v>
      </c>
      <c r="C105" s="115" t="s">
        <v>17</v>
      </c>
      <c r="D105" s="138">
        <f t="shared" ref="D105:M105" si="134">D98+D100+D102+D104</f>
        <v>3581.02</v>
      </c>
      <c r="E105" s="138">
        <f t="shared" si="134"/>
        <v>3700.08</v>
      </c>
      <c r="F105" s="138">
        <f t="shared" si="134"/>
        <v>3819.14</v>
      </c>
      <c r="G105" s="138">
        <f t="shared" si="134"/>
        <v>3939</v>
      </c>
      <c r="H105" s="138">
        <f t="shared" si="134"/>
        <v>4058.6000000000004</v>
      </c>
      <c r="I105" s="138">
        <f t="shared" si="134"/>
        <v>4177.66</v>
      </c>
      <c r="J105" s="138">
        <f t="shared" si="134"/>
        <v>4296.72</v>
      </c>
      <c r="K105" s="138">
        <f t="shared" si="134"/>
        <v>4401.04</v>
      </c>
      <c r="L105" s="138">
        <f t="shared" si="134"/>
        <v>4503.72</v>
      </c>
      <c r="M105" s="138">
        <f t="shared" si="134"/>
        <v>4606.66</v>
      </c>
    </row>
    <row r="106" spans="1:13" x14ac:dyDescent="0.2">
      <c r="A106" s="98"/>
      <c r="B106" s="98"/>
      <c r="C106" s="115" t="s">
        <v>33</v>
      </c>
      <c r="D106" s="138">
        <f>D105*26</f>
        <v>93106.52</v>
      </c>
      <c r="E106" s="138">
        <f t="shared" ref="E106" si="135">E105*26</f>
        <v>96202.08</v>
      </c>
      <c r="F106" s="138">
        <f t="shared" ref="F106" si="136">F105*26</f>
        <v>99297.64</v>
      </c>
      <c r="G106" s="138">
        <f t="shared" ref="G106" si="137">G105*26</f>
        <v>102414</v>
      </c>
      <c r="H106" s="138">
        <f t="shared" ref="H106" si="138">H105*26</f>
        <v>105523.6</v>
      </c>
      <c r="I106" s="138">
        <f t="shared" ref="I106" si="139">I105*26</f>
        <v>108619.16</v>
      </c>
      <c r="J106" s="138">
        <f t="shared" ref="J106" si="140">J105*26</f>
        <v>111714.72</v>
      </c>
      <c r="K106" s="138">
        <f t="shared" ref="K106" si="141">K105*26</f>
        <v>114427.04</v>
      </c>
      <c r="L106" s="138">
        <f t="shared" ref="L106" si="142">L105*26</f>
        <v>117096.72</v>
      </c>
      <c r="M106" s="138">
        <f t="shared" ref="M106" si="143">M105*26</f>
        <v>119773.16</v>
      </c>
    </row>
    <row r="107" spans="1:13" s="134" customFormat="1" x14ac:dyDescent="0.2">
      <c r="A107" s="112"/>
      <c r="B107" s="112"/>
      <c r="C107" s="113" t="s">
        <v>66</v>
      </c>
      <c r="D107" s="139">
        <f>((D99*80)+(D101*($B$15-80)))*26</f>
        <v>88836.800000000003</v>
      </c>
      <c r="E107" s="139">
        <f t="shared" ref="E107:M107" si="144">((E99*80)+(E101*($B$15-80)))*26</f>
        <v>91790.399999999994</v>
      </c>
      <c r="F107" s="139">
        <f t="shared" si="144"/>
        <v>94744</v>
      </c>
      <c r="G107" s="139">
        <f t="shared" si="144"/>
        <v>97718.399999999994</v>
      </c>
      <c r="H107" s="139">
        <f t="shared" si="144"/>
        <v>100682.40000000001</v>
      </c>
      <c r="I107" s="139">
        <f t="shared" si="144"/>
        <v>103636</v>
      </c>
      <c r="J107" s="139">
        <f t="shared" si="144"/>
        <v>106589.6</v>
      </c>
      <c r="K107" s="139">
        <f t="shared" si="144"/>
        <v>109564</v>
      </c>
      <c r="L107" s="139">
        <f t="shared" si="144"/>
        <v>112517.6</v>
      </c>
      <c r="M107" s="116">
        <f t="shared" si="144"/>
        <v>115481.60000000001</v>
      </c>
    </row>
    <row r="108" spans="1:13" x14ac:dyDescent="0.2">
      <c r="A108" s="97"/>
      <c r="B108" s="97"/>
      <c r="C108" s="128" t="s">
        <v>30</v>
      </c>
      <c r="D108" s="104">
        <f>'GS Pay Scale'!B18</f>
        <v>77488</v>
      </c>
      <c r="E108" s="104">
        <f>'GS Pay Scale'!C18</f>
        <v>80072</v>
      </c>
      <c r="F108" s="104">
        <f>'GS Pay Scale'!D18</f>
        <v>82655</v>
      </c>
      <c r="G108" s="104">
        <f>'GS Pay Scale'!E18</f>
        <v>85238</v>
      </c>
      <c r="H108" s="104">
        <f>'GS Pay Scale'!F18</f>
        <v>87822</v>
      </c>
      <c r="I108" s="104">
        <f>'GS Pay Scale'!G18</f>
        <v>90405</v>
      </c>
      <c r="J108" s="104">
        <f>'GS Pay Scale'!H18</f>
        <v>92988</v>
      </c>
      <c r="K108" s="104">
        <f>'GS Pay Scale'!I18</f>
        <v>95572</v>
      </c>
      <c r="L108" s="104">
        <f>'GS Pay Scale'!J18</f>
        <v>98155</v>
      </c>
      <c r="M108" s="104">
        <f>'GS Pay Scale'!K18</f>
        <v>100739</v>
      </c>
    </row>
    <row r="109" spans="1:13" x14ac:dyDescent="0.2">
      <c r="A109" s="98"/>
      <c r="B109" s="98">
        <v>80</v>
      </c>
      <c r="C109" s="103" t="s">
        <v>41</v>
      </c>
      <c r="D109" s="104">
        <f t="shared" ref="D109:M109" si="145">D110*80</f>
        <v>2970.4</v>
      </c>
      <c r="E109" s="104">
        <f t="shared" si="145"/>
        <v>3069.6</v>
      </c>
      <c r="F109" s="104">
        <f t="shared" si="145"/>
        <v>3168</v>
      </c>
      <c r="G109" s="104">
        <f t="shared" si="145"/>
        <v>3267.2000000000003</v>
      </c>
      <c r="H109" s="104">
        <f t="shared" si="145"/>
        <v>3366.3999999999996</v>
      </c>
      <c r="I109" s="104">
        <f t="shared" si="145"/>
        <v>3465.6</v>
      </c>
      <c r="J109" s="104">
        <f t="shared" si="145"/>
        <v>3564.8</v>
      </c>
      <c r="K109" s="104">
        <f t="shared" si="145"/>
        <v>3663.2</v>
      </c>
      <c r="L109" s="104">
        <f t="shared" si="145"/>
        <v>3762.4</v>
      </c>
      <c r="M109" s="104">
        <f t="shared" si="145"/>
        <v>3861.6000000000004</v>
      </c>
    </row>
    <row r="110" spans="1:13" x14ac:dyDescent="0.2">
      <c r="A110" s="98"/>
      <c r="B110" s="98"/>
      <c r="C110" s="103" t="s">
        <v>20</v>
      </c>
      <c r="D110" s="105">
        <f t="shared" ref="D110:M110" si="146">ROUND(D108/2087,2)</f>
        <v>37.130000000000003</v>
      </c>
      <c r="E110" s="105">
        <f t="shared" si="146"/>
        <v>38.369999999999997</v>
      </c>
      <c r="F110" s="105">
        <f t="shared" si="146"/>
        <v>39.6</v>
      </c>
      <c r="G110" s="105">
        <f t="shared" si="146"/>
        <v>40.840000000000003</v>
      </c>
      <c r="H110" s="105">
        <f t="shared" si="146"/>
        <v>42.08</v>
      </c>
      <c r="I110" s="105">
        <f t="shared" si="146"/>
        <v>43.32</v>
      </c>
      <c r="J110" s="105">
        <f t="shared" si="146"/>
        <v>44.56</v>
      </c>
      <c r="K110" s="105">
        <f t="shared" si="146"/>
        <v>45.79</v>
      </c>
      <c r="L110" s="105">
        <f t="shared" si="146"/>
        <v>47.03</v>
      </c>
      <c r="M110" s="105">
        <f t="shared" si="146"/>
        <v>48.27</v>
      </c>
    </row>
    <row r="111" spans="1:13" x14ac:dyDescent="0.2">
      <c r="A111" s="98"/>
      <c r="B111" s="98">
        <v>26</v>
      </c>
      <c r="C111" s="107" t="s">
        <v>38</v>
      </c>
      <c r="D111" s="105">
        <f t="shared" ref="D111:M111" si="147">D112*26</f>
        <v>731.12</v>
      </c>
      <c r="E111" s="105">
        <f t="shared" si="147"/>
        <v>755.30000000000007</v>
      </c>
      <c r="F111" s="105">
        <f t="shared" si="147"/>
        <v>779.74</v>
      </c>
      <c r="G111" s="105">
        <f t="shared" si="147"/>
        <v>804.18</v>
      </c>
      <c r="H111" s="105">
        <f t="shared" si="147"/>
        <v>828.62</v>
      </c>
      <c r="I111" s="105">
        <f t="shared" si="147"/>
        <v>852.8</v>
      </c>
      <c r="J111" s="105">
        <f t="shared" si="147"/>
        <v>877.24</v>
      </c>
      <c r="K111" s="105">
        <f t="shared" si="147"/>
        <v>901.68</v>
      </c>
      <c r="L111" s="105">
        <f t="shared" si="147"/>
        <v>926.11999999999989</v>
      </c>
      <c r="M111" s="105">
        <f t="shared" si="147"/>
        <v>950.3</v>
      </c>
    </row>
    <row r="112" spans="1:13" x14ac:dyDescent="0.2">
      <c r="A112" s="98"/>
      <c r="B112" s="98"/>
      <c r="C112" s="107" t="s">
        <v>13</v>
      </c>
      <c r="D112" s="105">
        <f t="shared" ref="D112:M112" si="148">ROUND(D108/2756,2)</f>
        <v>28.12</v>
      </c>
      <c r="E112" s="105">
        <f t="shared" si="148"/>
        <v>29.05</v>
      </c>
      <c r="F112" s="105">
        <f t="shared" si="148"/>
        <v>29.99</v>
      </c>
      <c r="G112" s="105">
        <f t="shared" si="148"/>
        <v>30.93</v>
      </c>
      <c r="H112" s="105">
        <f t="shared" si="148"/>
        <v>31.87</v>
      </c>
      <c r="I112" s="105">
        <f t="shared" si="148"/>
        <v>32.799999999999997</v>
      </c>
      <c r="J112" s="105">
        <f t="shared" si="148"/>
        <v>33.74</v>
      </c>
      <c r="K112" s="105">
        <f t="shared" si="148"/>
        <v>34.68</v>
      </c>
      <c r="L112" s="105">
        <f t="shared" si="148"/>
        <v>35.619999999999997</v>
      </c>
      <c r="M112" s="105">
        <f t="shared" si="148"/>
        <v>36.549999999999997</v>
      </c>
    </row>
    <row r="113" spans="1:13" x14ac:dyDescent="0.2">
      <c r="A113" s="98" t="s">
        <v>26</v>
      </c>
      <c r="B113" s="106">
        <f>($G$3-53)*2</f>
        <v>14</v>
      </c>
      <c r="C113" s="107" t="s">
        <v>39</v>
      </c>
      <c r="D113" s="105">
        <f t="shared" ref="D113:M113" si="149">D114*$B$12</f>
        <v>590.52</v>
      </c>
      <c r="E113" s="105">
        <f t="shared" si="149"/>
        <v>592.05999999999995</v>
      </c>
      <c r="F113" s="105">
        <f t="shared" si="149"/>
        <v>592.05999999999995</v>
      </c>
      <c r="G113" s="105">
        <f t="shared" si="149"/>
        <v>592.05999999999995</v>
      </c>
      <c r="H113" s="105">
        <f t="shared" si="149"/>
        <v>592.05999999999995</v>
      </c>
      <c r="I113" s="105">
        <f t="shared" si="149"/>
        <v>592.05999999999995</v>
      </c>
      <c r="J113" s="105">
        <f t="shared" si="149"/>
        <v>592.05999999999995</v>
      </c>
      <c r="K113" s="105">
        <f t="shared" si="149"/>
        <v>592.05999999999995</v>
      </c>
      <c r="L113" s="105">
        <f t="shared" si="149"/>
        <v>592.05999999999995</v>
      </c>
      <c r="M113" s="105">
        <f t="shared" si="149"/>
        <v>592.05999999999995</v>
      </c>
    </row>
    <row r="114" spans="1:13" x14ac:dyDescent="0.2">
      <c r="A114" s="98"/>
      <c r="B114" s="98"/>
      <c r="C114" s="107" t="s">
        <v>14</v>
      </c>
      <c r="D114" s="102">
        <f t="shared" ref="D114:M114" si="150">IF(ROUND(D112*1.5,2)&lt;$G$149,ROUND(D112*1.5,2),IF($G$149&lt;D112,D112,$G$149))</f>
        <v>42.18</v>
      </c>
      <c r="E114" s="102">
        <f t="shared" si="150"/>
        <v>42.29</v>
      </c>
      <c r="F114" s="102">
        <f t="shared" si="150"/>
        <v>42.29</v>
      </c>
      <c r="G114" s="102">
        <f t="shared" si="150"/>
        <v>42.29</v>
      </c>
      <c r="H114" s="102">
        <f t="shared" si="150"/>
        <v>42.29</v>
      </c>
      <c r="I114" s="102">
        <f t="shared" si="150"/>
        <v>42.29</v>
      </c>
      <c r="J114" s="102">
        <f t="shared" si="150"/>
        <v>42.29</v>
      </c>
      <c r="K114" s="102">
        <f t="shared" si="150"/>
        <v>42.29</v>
      </c>
      <c r="L114" s="102">
        <f t="shared" si="150"/>
        <v>42.29</v>
      </c>
      <c r="M114" s="102">
        <f t="shared" si="150"/>
        <v>42.29</v>
      </c>
    </row>
    <row r="115" spans="1:13" x14ac:dyDescent="0.2">
      <c r="A115" s="108"/>
      <c r="B115" s="108"/>
      <c r="C115" s="103" t="s">
        <v>43</v>
      </c>
      <c r="D115" s="102">
        <f>(ROUND(D110*'Start Page'!$G$46,2)*80)+(ROUND(D112*'Start Page'!$G$46,2)*($B$15-80))</f>
        <v>0</v>
      </c>
      <c r="E115" s="102">
        <f>(ROUND(E110*'Start Page'!$G$46,2)*80)+(ROUND(E112*'Start Page'!$G$46,2)*($B$15-80))</f>
        <v>0</v>
      </c>
      <c r="F115" s="102">
        <f>(ROUND(F110*'Start Page'!$G$46,2)*80)+(ROUND(F112*'Start Page'!$G$46,2)*($B$15-80))</f>
        <v>0</v>
      </c>
      <c r="G115" s="102">
        <f>(ROUND(G110*'Start Page'!$G$46,2)*80)+(ROUND(G112*'Start Page'!$G$46,2)*($B$15-80))</f>
        <v>0</v>
      </c>
      <c r="H115" s="102">
        <f>(ROUND(H110*'Start Page'!$G$46,2)*80)+(ROUND(H112*'Start Page'!$G$46,2)*($B$15-80))</f>
        <v>0</v>
      </c>
      <c r="I115" s="102">
        <f>(ROUND(I110*'Start Page'!$G$46,2)*80)+(ROUND(I112*'Start Page'!$G$46,2)*($B$15-80))</f>
        <v>0</v>
      </c>
      <c r="J115" s="102">
        <f>(ROUND(J110*'Start Page'!$G$46,2)*80)+(ROUND(J112*'Start Page'!$G$46,2)*($B$15-80))</f>
        <v>0</v>
      </c>
      <c r="K115" s="102">
        <f>(ROUND(K110*'Start Page'!$G$46,2)*80)+(ROUND(K112*'Start Page'!$G$46,2)*($B$15-80))</f>
        <v>0</v>
      </c>
      <c r="L115" s="102">
        <f>(ROUND(L110*'Start Page'!$G$46,2)*80)+(ROUND(L112*'Start Page'!$G$46,2)*($B$15-80))</f>
        <v>0</v>
      </c>
      <c r="M115" s="102">
        <f>(ROUND(M110*'Start Page'!$G$46,2)*80)+(ROUND(M112*'Start Page'!$G$46,2)*($B$15-80))</f>
        <v>0</v>
      </c>
    </row>
    <row r="116" spans="1:13" x14ac:dyDescent="0.2">
      <c r="A116" s="98"/>
      <c r="B116" s="98">
        <f>B109+B111+B113</f>
        <v>120</v>
      </c>
      <c r="C116" s="115" t="s">
        <v>17</v>
      </c>
      <c r="D116" s="138">
        <f t="shared" ref="D116:M116" si="151">D109+D111+D113+D115</f>
        <v>4292.04</v>
      </c>
      <c r="E116" s="138">
        <f t="shared" si="151"/>
        <v>4416.96</v>
      </c>
      <c r="F116" s="138">
        <f t="shared" si="151"/>
        <v>4539.7999999999993</v>
      </c>
      <c r="G116" s="138">
        <f t="shared" si="151"/>
        <v>4663.4400000000005</v>
      </c>
      <c r="H116" s="138">
        <f t="shared" si="151"/>
        <v>4787.08</v>
      </c>
      <c r="I116" s="138">
        <f t="shared" si="151"/>
        <v>4910.4599999999991</v>
      </c>
      <c r="J116" s="138">
        <f t="shared" si="151"/>
        <v>5034.1000000000004</v>
      </c>
      <c r="K116" s="138">
        <f t="shared" si="151"/>
        <v>5156.9400000000005</v>
      </c>
      <c r="L116" s="138">
        <f t="shared" si="151"/>
        <v>5280.58</v>
      </c>
      <c r="M116" s="138">
        <f t="shared" si="151"/>
        <v>5403.9600000000009</v>
      </c>
    </row>
    <row r="117" spans="1:13" x14ac:dyDescent="0.2">
      <c r="A117" s="98"/>
      <c r="B117" s="98"/>
      <c r="C117" s="115" t="s">
        <v>33</v>
      </c>
      <c r="D117" s="138">
        <f>D116*26</f>
        <v>111593.04</v>
      </c>
      <c r="E117" s="138">
        <f t="shared" ref="E117" si="152">E116*26</f>
        <v>114840.96000000001</v>
      </c>
      <c r="F117" s="138">
        <f t="shared" ref="F117" si="153">F116*26</f>
        <v>118034.79999999999</v>
      </c>
      <c r="G117" s="138">
        <f t="shared" ref="G117" si="154">G116*26</f>
        <v>121249.44000000002</v>
      </c>
      <c r="H117" s="138">
        <f t="shared" ref="H117" si="155">H116*26</f>
        <v>124464.08</v>
      </c>
      <c r="I117" s="138">
        <f t="shared" ref="I117" si="156">I116*26</f>
        <v>127671.95999999998</v>
      </c>
      <c r="J117" s="138">
        <f t="shared" ref="J117" si="157">J116*26</f>
        <v>130886.6</v>
      </c>
      <c r="K117" s="138">
        <f t="shared" ref="K117" si="158">K116*26</f>
        <v>134080.44</v>
      </c>
      <c r="L117" s="138">
        <f t="shared" ref="L117" si="159">L116*26</f>
        <v>137295.07999999999</v>
      </c>
      <c r="M117" s="138">
        <f t="shared" ref="M117" si="160">M116*26</f>
        <v>140502.96000000002</v>
      </c>
    </row>
    <row r="118" spans="1:13" s="134" customFormat="1" x14ac:dyDescent="0.2">
      <c r="A118" s="112"/>
      <c r="B118" s="112"/>
      <c r="C118" s="113" t="s">
        <v>66</v>
      </c>
      <c r="D118" s="139">
        <f>((D110*80)+(D112*($B$15-80)))*26</f>
        <v>106475.2</v>
      </c>
      <c r="E118" s="139">
        <f t="shared" ref="E118:M118" si="161">((E110*80)+(E112*($B$15-80)))*26</f>
        <v>110021.6</v>
      </c>
      <c r="F118" s="139">
        <f t="shared" si="161"/>
        <v>113557.6</v>
      </c>
      <c r="G118" s="139">
        <f t="shared" si="161"/>
        <v>117114.40000000001</v>
      </c>
      <c r="H118" s="139">
        <f t="shared" si="161"/>
        <v>120671.2</v>
      </c>
      <c r="I118" s="139">
        <f t="shared" si="161"/>
        <v>124217.60000000001</v>
      </c>
      <c r="J118" s="139">
        <f t="shared" si="161"/>
        <v>127774.40000000001</v>
      </c>
      <c r="K118" s="139">
        <f t="shared" si="161"/>
        <v>131310.39999999999</v>
      </c>
      <c r="L118" s="139">
        <f t="shared" si="161"/>
        <v>134867.19999999998</v>
      </c>
      <c r="M118" s="116">
        <f t="shared" si="161"/>
        <v>138413.6</v>
      </c>
    </row>
    <row r="119" spans="1:13" s="134" customFormat="1" x14ac:dyDescent="0.2">
      <c r="A119" s="97"/>
      <c r="B119" s="97"/>
      <c r="C119" s="128" t="s">
        <v>30</v>
      </c>
      <c r="D119" s="104">
        <f>'GS Pay Scale'!B19</f>
        <v>92143</v>
      </c>
      <c r="E119" s="104">
        <f>'GS Pay Scale'!C19</f>
        <v>95215</v>
      </c>
      <c r="F119" s="104">
        <f>'GS Pay Scale'!D19</f>
        <v>98286</v>
      </c>
      <c r="G119" s="104">
        <f>'GS Pay Scale'!E19</f>
        <v>101358</v>
      </c>
      <c r="H119" s="104">
        <f>'GS Pay Scale'!F19</f>
        <v>104429</v>
      </c>
      <c r="I119" s="104">
        <f>'GS Pay Scale'!G19</f>
        <v>107501</v>
      </c>
      <c r="J119" s="104">
        <f>'GS Pay Scale'!H19</f>
        <v>110572</v>
      </c>
      <c r="K119" s="104">
        <f>'GS Pay Scale'!I19</f>
        <v>113644</v>
      </c>
      <c r="L119" s="104">
        <f>'GS Pay Scale'!J19</f>
        <v>116715</v>
      </c>
      <c r="M119" s="104">
        <f>'GS Pay Scale'!K19</f>
        <v>119787</v>
      </c>
    </row>
    <row r="120" spans="1:13" s="134" customFormat="1" x14ac:dyDescent="0.2">
      <c r="A120" s="98"/>
      <c r="B120" s="98">
        <v>80</v>
      </c>
      <c r="C120" s="103" t="s">
        <v>41</v>
      </c>
      <c r="D120" s="104">
        <f t="shared" ref="D120:M120" si="162">D121*80</f>
        <v>3532</v>
      </c>
      <c r="E120" s="104">
        <f t="shared" si="162"/>
        <v>3649.6</v>
      </c>
      <c r="F120" s="104">
        <f t="shared" si="162"/>
        <v>3767.2000000000003</v>
      </c>
      <c r="G120" s="104">
        <f t="shared" si="162"/>
        <v>3885.6</v>
      </c>
      <c r="H120" s="104">
        <f t="shared" si="162"/>
        <v>4003.2</v>
      </c>
      <c r="I120" s="104">
        <f t="shared" si="162"/>
        <v>4120.8</v>
      </c>
      <c r="J120" s="104">
        <f t="shared" si="162"/>
        <v>4238.3999999999996</v>
      </c>
      <c r="K120" s="104">
        <f t="shared" si="162"/>
        <v>4356</v>
      </c>
      <c r="L120" s="104">
        <f t="shared" si="162"/>
        <v>4473.6000000000004</v>
      </c>
      <c r="M120" s="104">
        <f t="shared" si="162"/>
        <v>4592</v>
      </c>
    </row>
    <row r="121" spans="1:13" s="134" customFormat="1" x14ac:dyDescent="0.2">
      <c r="A121" s="98"/>
      <c r="B121" s="98"/>
      <c r="C121" s="103" t="s">
        <v>20</v>
      </c>
      <c r="D121" s="105">
        <f t="shared" ref="D121:M121" si="163">ROUND(D119/2087,2)</f>
        <v>44.15</v>
      </c>
      <c r="E121" s="105">
        <f t="shared" si="163"/>
        <v>45.62</v>
      </c>
      <c r="F121" s="105">
        <f t="shared" si="163"/>
        <v>47.09</v>
      </c>
      <c r="G121" s="105">
        <f t="shared" si="163"/>
        <v>48.57</v>
      </c>
      <c r="H121" s="105">
        <f t="shared" si="163"/>
        <v>50.04</v>
      </c>
      <c r="I121" s="105">
        <f t="shared" si="163"/>
        <v>51.51</v>
      </c>
      <c r="J121" s="105">
        <f t="shared" si="163"/>
        <v>52.98</v>
      </c>
      <c r="K121" s="105">
        <f t="shared" si="163"/>
        <v>54.45</v>
      </c>
      <c r="L121" s="105">
        <f t="shared" si="163"/>
        <v>55.92</v>
      </c>
      <c r="M121" s="105">
        <f t="shared" si="163"/>
        <v>57.4</v>
      </c>
    </row>
    <row r="122" spans="1:13" s="134" customFormat="1" x14ac:dyDescent="0.2">
      <c r="A122" s="98"/>
      <c r="B122" s="98">
        <v>26</v>
      </c>
      <c r="C122" s="107" t="s">
        <v>38</v>
      </c>
      <c r="D122" s="105">
        <f t="shared" ref="D122:M122" si="164">D123*26</f>
        <v>869.18</v>
      </c>
      <c r="E122" s="105">
        <f t="shared" si="164"/>
        <v>898.3</v>
      </c>
      <c r="F122" s="105">
        <f t="shared" si="164"/>
        <v>927.15999999999985</v>
      </c>
      <c r="G122" s="105">
        <f t="shared" si="164"/>
        <v>956.28</v>
      </c>
      <c r="H122" s="105">
        <f t="shared" si="164"/>
        <v>985.14</v>
      </c>
      <c r="I122" s="105">
        <f t="shared" si="164"/>
        <v>1014.26</v>
      </c>
      <c r="J122" s="105">
        <f t="shared" si="164"/>
        <v>1043.1199999999999</v>
      </c>
      <c r="K122" s="105">
        <f t="shared" si="164"/>
        <v>1072.24</v>
      </c>
      <c r="L122" s="105">
        <f t="shared" si="164"/>
        <v>1101.1000000000001</v>
      </c>
      <c r="M122" s="105">
        <f t="shared" si="164"/>
        <v>1129.96</v>
      </c>
    </row>
    <row r="123" spans="1:13" s="134" customFormat="1" x14ac:dyDescent="0.2">
      <c r="A123" s="98"/>
      <c r="B123" s="98"/>
      <c r="C123" s="107" t="s">
        <v>13</v>
      </c>
      <c r="D123" s="105">
        <f t="shared" ref="D123:M123" si="165">ROUND(D119/2756,2)</f>
        <v>33.43</v>
      </c>
      <c r="E123" s="105">
        <f t="shared" si="165"/>
        <v>34.549999999999997</v>
      </c>
      <c r="F123" s="105">
        <f t="shared" si="165"/>
        <v>35.659999999999997</v>
      </c>
      <c r="G123" s="105">
        <f t="shared" si="165"/>
        <v>36.78</v>
      </c>
      <c r="H123" s="105">
        <f t="shared" si="165"/>
        <v>37.89</v>
      </c>
      <c r="I123" s="105">
        <f t="shared" si="165"/>
        <v>39.01</v>
      </c>
      <c r="J123" s="105">
        <f t="shared" si="165"/>
        <v>40.119999999999997</v>
      </c>
      <c r="K123" s="105">
        <f t="shared" si="165"/>
        <v>41.24</v>
      </c>
      <c r="L123" s="105">
        <f t="shared" si="165"/>
        <v>42.35</v>
      </c>
      <c r="M123" s="105">
        <f t="shared" si="165"/>
        <v>43.46</v>
      </c>
    </row>
    <row r="124" spans="1:13" s="134" customFormat="1" x14ac:dyDescent="0.2">
      <c r="A124" s="98" t="s">
        <v>31</v>
      </c>
      <c r="B124" s="106">
        <f>($G$3-53)*2</f>
        <v>14</v>
      </c>
      <c r="C124" s="107" t="s">
        <v>39</v>
      </c>
      <c r="D124" s="105">
        <f t="shared" ref="D124:M124" si="166">D125*$B$12</f>
        <v>592.05999999999995</v>
      </c>
      <c r="E124" s="105">
        <f t="shared" si="166"/>
        <v>592.05999999999995</v>
      </c>
      <c r="F124" s="105">
        <f t="shared" si="166"/>
        <v>592.05999999999995</v>
      </c>
      <c r="G124" s="105">
        <f t="shared" si="166"/>
        <v>592.05999999999995</v>
      </c>
      <c r="H124" s="105">
        <f t="shared" si="166"/>
        <v>592.05999999999995</v>
      </c>
      <c r="I124" s="105">
        <f t="shared" si="166"/>
        <v>592.05999999999995</v>
      </c>
      <c r="J124" s="105">
        <f t="shared" si="166"/>
        <v>592.05999999999995</v>
      </c>
      <c r="K124" s="105">
        <f t="shared" si="166"/>
        <v>592.05999999999995</v>
      </c>
      <c r="L124" s="105">
        <f t="shared" si="166"/>
        <v>592.9</v>
      </c>
      <c r="M124" s="105">
        <f t="shared" si="166"/>
        <v>608.44000000000005</v>
      </c>
    </row>
    <row r="125" spans="1:13" s="134" customFormat="1" x14ac:dyDescent="0.2">
      <c r="A125" s="98"/>
      <c r="B125" s="98"/>
      <c r="C125" s="107" t="s">
        <v>14</v>
      </c>
      <c r="D125" s="102">
        <f t="shared" ref="D125:M125" si="167">IF(ROUND(D123*1.5,2)&lt;$G$149,ROUND(D123*1.5,2),IF($G$149&lt;D123,D123,$G$149))</f>
        <v>42.29</v>
      </c>
      <c r="E125" s="102">
        <f t="shared" si="167"/>
        <v>42.29</v>
      </c>
      <c r="F125" s="102">
        <f t="shared" si="167"/>
        <v>42.29</v>
      </c>
      <c r="G125" s="102">
        <f t="shared" si="167"/>
        <v>42.29</v>
      </c>
      <c r="H125" s="102">
        <f t="shared" si="167"/>
        <v>42.29</v>
      </c>
      <c r="I125" s="102">
        <f t="shared" si="167"/>
        <v>42.29</v>
      </c>
      <c r="J125" s="102">
        <f t="shared" si="167"/>
        <v>42.29</v>
      </c>
      <c r="K125" s="102">
        <f t="shared" si="167"/>
        <v>42.29</v>
      </c>
      <c r="L125" s="102">
        <f t="shared" si="167"/>
        <v>42.35</v>
      </c>
      <c r="M125" s="102">
        <f t="shared" si="167"/>
        <v>43.46</v>
      </c>
    </row>
    <row r="126" spans="1:13" s="134" customFormat="1" x14ac:dyDescent="0.2">
      <c r="A126" s="108"/>
      <c r="B126" s="108"/>
      <c r="C126" s="103" t="s">
        <v>43</v>
      </c>
      <c r="D126" s="102">
        <f>(ROUND(D121*'Start Page'!$G$46,2)*80)+(ROUND(D123*'Start Page'!$G$46,2)*($B$15-80))</f>
        <v>0</v>
      </c>
      <c r="E126" s="102">
        <f>(ROUND(E121*'Start Page'!$G$46,2)*80)+(ROUND(E123*'Start Page'!$G$46,2)*($B$15-80))</f>
        <v>0</v>
      </c>
      <c r="F126" s="102">
        <f>(ROUND(F121*'Start Page'!$G$46,2)*80)+(ROUND(F123*'Start Page'!$G$46,2)*($B$15-80))</f>
        <v>0</v>
      </c>
      <c r="G126" s="102">
        <f>(ROUND(G121*'Start Page'!$G$46,2)*80)+(ROUND(G123*'Start Page'!$G$46,2)*($B$15-80))</f>
        <v>0</v>
      </c>
      <c r="H126" s="102">
        <f>(ROUND(H121*'Start Page'!$G$46,2)*80)+(ROUND(H123*'Start Page'!$G$46,2)*($B$15-80))</f>
        <v>0</v>
      </c>
      <c r="I126" s="102">
        <f>(ROUND(I121*'Start Page'!$G$46,2)*80)+(ROUND(I123*'Start Page'!$G$46,2)*($B$15-80))</f>
        <v>0</v>
      </c>
      <c r="J126" s="102">
        <f>(ROUND(J121*'Start Page'!$G$46,2)*80)+(ROUND(J123*'Start Page'!$G$46,2)*($B$15-80))</f>
        <v>0</v>
      </c>
      <c r="K126" s="102">
        <f>(ROUND(K121*'Start Page'!$G$46,2)*80)+(ROUND(K123*'Start Page'!$G$46,2)*($B$15-80))</f>
        <v>0</v>
      </c>
      <c r="L126" s="102">
        <f>(ROUND(L121*'Start Page'!$G$46,2)*80)+(ROUND(L123*'Start Page'!$G$46,2)*($B$15-80))</f>
        <v>0</v>
      </c>
      <c r="M126" s="102">
        <f>(ROUND(M121*'Start Page'!$G$46,2)*80)+(ROUND(M123*'Start Page'!$G$46,2)*($B$15-80))</f>
        <v>0</v>
      </c>
    </row>
    <row r="127" spans="1:13" s="134" customFormat="1" x14ac:dyDescent="0.2">
      <c r="A127" s="98"/>
      <c r="B127" s="98">
        <f>B120+B122+B124</f>
        <v>120</v>
      </c>
      <c r="C127" s="115" t="s">
        <v>17</v>
      </c>
      <c r="D127" s="138">
        <f t="shared" ref="D127:M127" si="168">D120+D122+D124+D126</f>
        <v>4993.24</v>
      </c>
      <c r="E127" s="138">
        <f t="shared" si="168"/>
        <v>5139.9599999999991</v>
      </c>
      <c r="F127" s="138">
        <f t="shared" si="168"/>
        <v>5286.42</v>
      </c>
      <c r="G127" s="138">
        <f t="shared" si="168"/>
        <v>5433.9400000000005</v>
      </c>
      <c r="H127" s="138">
        <f t="shared" si="168"/>
        <v>5580.4</v>
      </c>
      <c r="I127" s="138">
        <f t="shared" si="168"/>
        <v>5727.1200000000008</v>
      </c>
      <c r="J127" s="138">
        <f t="shared" si="168"/>
        <v>5873.58</v>
      </c>
      <c r="K127" s="138">
        <f t="shared" si="168"/>
        <v>6020.2999999999993</v>
      </c>
      <c r="L127" s="138">
        <f t="shared" si="168"/>
        <v>6167.6</v>
      </c>
      <c r="M127" s="138">
        <f t="shared" si="168"/>
        <v>6330.4</v>
      </c>
    </row>
    <row r="128" spans="1:13" s="134" customFormat="1" x14ac:dyDescent="0.2">
      <c r="A128" s="98"/>
      <c r="B128" s="98"/>
      <c r="C128" s="115" t="s">
        <v>33</v>
      </c>
      <c r="D128" s="138">
        <f>D127*26</f>
        <v>129824.23999999999</v>
      </c>
      <c r="E128" s="138">
        <f t="shared" ref="E128" si="169">E127*26</f>
        <v>133638.95999999996</v>
      </c>
      <c r="F128" s="138">
        <f t="shared" ref="F128" si="170">F127*26</f>
        <v>137446.92000000001</v>
      </c>
      <c r="G128" s="138">
        <f t="shared" ref="G128" si="171">G127*26</f>
        <v>141282.44</v>
      </c>
      <c r="H128" s="138">
        <f t="shared" ref="H128" si="172">H127*26</f>
        <v>145090.4</v>
      </c>
      <c r="I128" s="138">
        <f t="shared" ref="I128" si="173">I127*26</f>
        <v>148905.12000000002</v>
      </c>
      <c r="J128" s="138">
        <f t="shared" ref="J128" si="174">J127*26</f>
        <v>152713.07999999999</v>
      </c>
      <c r="K128" s="138">
        <f t="shared" ref="K128" si="175">K127*26</f>
        <v>156527.79999999999</v>
      </c>
      <c r="L128" s="138">
        <f t="shared" ref="L128" si="176">L127*26</f>
        <v>160357.6</v>
      </c>
      <c r="M128" s="138">
        <f t="shared" ref="M128" si="177">M127*26</f>
        <v>164590.39999999999</v>
      </c>
    </row>
    <row r="129" spans="1:13" s="134" customFormat="1" x14ac:dyDescent="0.2">
      <c r="A129" s="112"/>
      <c r="B129" s="112"/>
      <c r="C129" s="113" t="s">
        <v>66</v>
      </c>
      <c r="D129" s="139">
        <f>((D121*80)+(D123*($B$15-80)))*26</f>
        <v>126599.2</v>
      </c>
      <c r="E129" s="139">
        <f t="shared" ref="E129:M129" si="178">((E121*80)+(E123*($B$15-80)))*26</f>
        <v>130821.6</v>
      </c>
      <c r="F129" s="139">
        <f t="shared" si="178"/>
        <v>135033.60000000001</v>
      </c>
      <c r="G129" s="139">
        <f t="shared" si="178"/>
        <v>139276.80000000002</v>
      </c>
      <c r="H129" s="139">
        <f t="shared" si="178"/>
        <v>143488.79999999999</v>
      </c>
      <c r="I129" s="139">
        <f t="shared" si="178"/>
        <v>147711.19999999998</v>
      </c>
      <c r="J129" s="139">
        <f t="shared" si="178"/>
        <v>151923.19999999998</v>
      </c>
      <c r="K129" s="139">
        <f t="shared" si="178"/>
        <v>156145.60000000001</v>
      </c>
      <c r="L129" s="139">
        <f t="shared" si="178"/>
        <v>160357.6</v>
      </c>
      <c r="M129" s="116">
        <f t="shared" si="178"/>
        <v>164590.39999999999</v>
      </c>
    </row>
    <row r="130" spans="1:13" x14ac:dyDescent="0.2">
      <c r="A130" s="97"/>
      <c r="B130" s="97"/>
      <c r="C130" s="128" t="s">
        <v>30</v>
      </c>
      <c r="D130" s="104">
        <f>'GS Pay Scale'!B20</f>
        <v>108885</v>
      </c>
      <c r="E130" s="104">
        <f>'GS Pay Scale'!C20</f>
        <v>112514</v>
      </c>
      <c r="F130" s="104">
        <f>'GS Pay Scale'!D20</f>
        <v>116144</v>
      </c>
      <c r="G130" s="104">
        <f>'GS Pay Scale'!E20</f>
        <v>119773</v>
      </c>
      <c r="H130" s="104">
        <f>'GS Pay Scale'!F20</f>
        <v>123402</v>
      </c>
      <c r="I130" s="104">
        <f>'GS Pay Scale'!G20</f>
        <v>127031</v>
      </c>
      <c r="J130" s="104">
        <f>'GS Pay Scale'!H20</f>
        <v>130661</v>
      </c>
      <c r="K130" s="104">
        <f>'GS Pay Scale'!I20</f>
        <v>134290</v>
      </c>
      <c r="L130" s="104">
        <f>'GS Pay Scale'!J20</f>
        <v>137919</v>
      </c>
      <c r="M130" s="104">
        <f>'GS Pay Scale'!K20</f>
        <v>141548</v>
      </c>
    </row>
    <row r="131" spans="1:13" x14ac:dyDescent="0.2">
      <c r="A131" s="98"/>
      <c r="B131" s="98">
        <v>80</v>
      </c>
      <c r="C131" s="103" t="s">
        <v>41</v>
      </c>
      <c r="D131" s="104">
        <f t="shared" ref="D131:M131" si="179">D132*80</f>
        <v>4173.6000000000004</v>
      </c>
      <c r="E131" s="104">
        <f t="shared" si="179"/>
        <v>4312.7999999999993</v>
      </c>
      <c r="F131" s="104">
        <f t="shared" si="179"/>
        <v>4452</v>
      </c>
      <c r="G131" s="104">
        <f t="shared" si="179"/>
        <v>4591.2</v>
      </c>
      <c r="H131" s="104">
        <f t="shared" si="179"/>
        <v>4730.4000000000005</v>
      </c>
      <c r="I131" s="104">
        <f t="shared" si="179"/>
        <v>4869.5999999999995</v>
      </c>
      <c r="J131" s="104">
        <f t="shared" si="179"/>
        <v>5008.8</v>
      </c>
      <c r="K131" s="104">
        <f t="shared" si="179"/>
        <v>5148</v>
      </c>
      <c r="L131" s="104">
        <f t="shared" si="179"/>
        <v>5286.4</v>
      </c>
      <c r="M131" s="104">
        <f t="shared" si="179"/>
        <v>5425.5999999999995</v>
      </c>
    </row>
    <row r="132" spans="1:13" x14ac:dyDescent="0.2">
      <c r="A132" s="98"/>
      <c r="B132" s="98"/>
      <c r="C132" s="103" t="s">
        <v>20</v>
      </c>
      <c r="D132" s="105">
        <f t="shared" ref="D132:M132" si="180">ROUND(D130/2087,2)</f>
        <v>52.17</v>
      </c>
      <c r="E132" s="105">
        <f t="shared" si="180"/>
        <v>53.91</v>
      </c>
      <c r="F132" s="105">
        <f t="shared" si="180"/>
        <v>55.65</v>
      </c>
      <c r="G132" s="105">
        <f t="shared" si="180"/>
        <v>57.39</v>
      </c>
      <c r="H132" s="105">
        <f t="shared" si="180"/>
        <v>59.13</v>
      </c>
      <c r="I132" s="105">
        <f t="shared" si="180"/>
        <v>60.87</v>
      </c>
      <c r="J132" s="105">
        <f t="shared" si="180"/>
        <v>62.61</v>
      </c>
      <c r="K132" s="105">
        <f t="shared" si="180"/>
        <v>64.349999999999994</v>
      </c>
      <c r="L132" s="105">
        <f t="shared" si="180"/>
        <v>66.08</v>
      </c>
      <c r="M132" s="105">
        <f t="shared" si="180"/>
        <v>67.819999999999993</v>
      </c>
    </row>
    <row r="133" spans="1:13" x14ac:dyDescent="0.2">
      <c r="A133" s="98"/>
      <c r="B133" s="98">
        <v>26</v>
      </c>
      <c r="C133" s="107" t="s">
        <v>38</v>
      </c>
      <c r="D133" s="105">
        <f t="shared" ref="D133:M133" si="181">D134*26</f>
        <v>1027.26</v>
      </c>
      <c r="E133" s="105">
        <f t="shared" si="181"/>
        <v>1061.58</v>
      </c>
      <c r="F133" s="105">
        <f t="shared" si="181"/>
        <v>1095.6400000000001</v>
      </c>
      <c r="G133" s="105">
        <f t="shared" si="181"/>
        <v>1129.96</v>
      </c>
      <c r="H133" s="105">
        <f t="shared" si="181"/>
        <v>1164.28</v>
      </c>
      <c r="I133" s="105">
        <f t="shared" si="181"/>
        <v>1198.3400000000001</v>
      </c>
      <c r="J133" s="105">
        <f t="shared" si="181"/>
        <v>1232.6599999999999</v>
      </c>
      <c r="K133" s="105">
        <f t="shared" si="181"/>
        <v>1266.98</v>
      </c>
      <c r="L133" s="105">
        <f t="shared" si="181"/>
        <v>1301.04</v>
      </c>
      <c r="M133" s="105">
        <f t="shared" si="181"/>
        <v>1335.36</v>
      </c>
    </row>
    <row r="134" spans="1:13" x14ac:dyDescent="0.2">
      <c r="A134" s="98"/>
      <c r="B134" s="98"/>
      <c r="C134" s="107" t="s">
        <v>13</v>
      </c>
      <c r="D134" s="105">
        <f t="shared" ref="D134:M134" si="182">ROUND(D130/2756,2)</f>
        <v>39.51</v>
      </c>
      <c r="E134" s="105">
        <f t="shared" si="182"/>
        <v>40.83</v>
      </c>
      <c r="F134" s="105">
        <f t="shared" si="182"/>
        <v>42.14</v>
      </c>
      <c r="G134" s="105">
        <f t="shared" si="182"/>
        <v>43.46</v>
      </c>
      <c r="H134" s="105">
        <f t="shared" si="182"/>
        <v>44.78</v>
      </c>
      <c r="I134" s="105">
        <f t="shared" si="182"/>
        <v>46.09</v>
      </c>
      <c r="J134" s="105">
        <f t="shared" si="182"/>
        <v>47.41</v>
      </c>
      <c r="K134" s="105">
        <f t="shared" si="182"/>
        <v>48.73</v>
      </c>
      <c r="L134" s="105">
        <f t="shared" si="182"/>
        <v>50.04</v>
      </c>
      <c r="M134" s="105">
        <f t="shared" si="182"/>
        <v>51.36</v>
      </c>
    </row>
    <row r="135" spans="1:13" x14ac:dyDescent="0.2">
      <c r="A135" s="98" t="s">
        <v>101</v>
      </c>
      <c r="B135" s="106">
        <f>($G$3-53)*2</f>
        <v>14</v>
      </c>
      <c r="C135" s="107" t="s">
        <v>39</v>
      </c>
      <c r="D135" s="105">
        <f t="shared" ref="D135:M135" si="183">D136*$B$12</f>
        <v>592.05999999999995</v>
      </c>
      <c r="E135" s="105">
        <f t="shared" si="183"/>
        <v>592.05999999999995</v>
      </c>
      <c r="F135" s="105">
        <f t="shared" si="183"/>
        <v>592.05999999999995</v>
      </c>
      <c r="G135" s="105">
        <f t="shared" si="183"/>
        <v>608.44000000000005</v>
      </c>
      <c r="H135" s="105">
        <f t="shared" si="183"/>
        <v>626.92000000000007</v>
      </c>
      <c r="I135" s="105">
        <f t="shared" si="183"/>
        <v>645.26</v>
      </c>
      <c r="J135" s="105">
        <f t="shared" si="183"/>
        <v>663.74</v>
      </c>
      <c r="K135" s="105">
        <f t="shared" si="183"/>
        <v>682.21999999999991</v>
      </c>
      <c r="L135" s="105">
        <f t="shared" si="183"/>
        <v>700.56</v>
      </c>
      <c r="M135" s="105">
        <f t="shared" si="183"/>
        <v>719.04</v>
      </c>
    </row>
    <row r="136" spans="1:13" x14ac:dyDescent="0.2">
      <c r="A136" s="98"/>
      <c r="B136" s="98"/>
      <c r="C136" s="107" t="s">
        <v>14</v>
      </c>
      <c r="D136" s="102">
        <f t="shared" ref="D136:M136" si="184">IF(ROUND(D134*1.5,2)&lt;$G$149,ROUND(D134*1.5,2),IF($G$149&lt;D134,D134,$G$149))</f>
        <v>42.29</v>
      </c>
      <c r="E136" s="102">
        <f t="shared" si="184"/>
        <v>42.29</v>
      </c>
      <c r="F136" s="102">
        <f t="shared" si="184"/>
        <v>42.29</v>
      </c>
      <c r="G136" s="102">
        <f t="shared" si="184"/>
        <v>43.46</v>
      </c>
      <c r="H136" s="102">
        <f t="shared" si="184"/>
        <v>44.78</v>
      </c>
      <c r="I136" s="102">
        <f t="shared" si="184"/>
        <v>46.09</v>
      </c>
      <c r="J136" s="102">
        <f t="shared" si="184"/>
        <v>47.41</v>
      </c>
      <c r="K136" s="102">
        <f t="shared" si="184"/>
        <v>48.73</v>
      </c>
      <c r="L136" s="102">
        <f t="shared" si="184"/>
        <v>50.04</v>
      </c>
      <c r="M136" s="102">
        <f t="shared" si="184"/>
        <v>51.36</v>
      </c>
    </row>
    <row r="137" spans="1:13" x14ac:dyDescent="0.2">
      <c r="A137" s="108"/>
      <c r="B137" s="108"/>
      <c r="C137" s="103" t="s">
        <v>43</v>
      </c>
      <c r="D137" s="102">
        <f>(ROUND(D132*'Start Page'!$G$46,2)*80)+(ROUND(D134*'Start Page'!$G$46,2)*($B$15-80))</f>
        <v>0</v>
      </c>
      <c r="E137" s="102">
        <f>(ROUND(E132*'Start Page'!$G$46,2)*80)+(ROUND(E134*'Start Page'!$G$46,2)*($B$15-80))</f>
        <v>0</v>
      </c>
      <c r="F137" s="102">
        <f>(ROUND(F132*'Start Page'!$G$46,2)*80)+(ROUND(F134*'Start Page'!$G$46,2)*($B$15-80))</f>
        <v>0</v>
      </c>
      <c r="G137" s="102">
        <f>(ROUND(G132*'Start Page'!$G$46,2)*80)+(ROUND(G134*'Start Page'!$G$46,2)*($B$15-80))</f>
        <v>0</v>
      </c>
      <c r="H137" s="102">
        <f>(ROUND(H132*'Start Page'!$G$46,2)*80)+(ROUND(H134*'Start Page'!$G$46,2)*($B$15-80))</f>
        <v>0</v>
      </c>
      <c r="I137" s="102">
        <f>(ROUND(I132*'Start Page'!$G$46,2)*80)+(ROUND(I134*'Start Page'!$G$46,2)*($B$15-80))</f>
        <v>0</v>
      </c>
      <c r="J137" s="102">
        <f>(ROUND(J132*'Start Page'!$G$46,2)*80)+(ROUND(J134*'Start Page'!$G$46,2)*($B$15-80))</f>
        <v>0</v>
      </c>
      <c r="K137" s="102">
        <f>(ROUND(K132*'Start Page'!$G$46,2)*80)+(ROUND(K134*'Start Page'!$G$46,2)*($B$15-80))</f>
        <v>0</v>
      </c>
      <c r="L137" s="102">
        <f>(ROUND(L132*'Start Page'!$G$46,2)*80)+(ROUND(L134*'Start Page'!$G$46,2)*($B$15-80))</f>
        <v>0</v>
      </c>
      <c r="M137" s="102">
        <f>(ROUND(M132*'Start Page'!$G$46,2)*80)+(ROUND(M134*'Start Page'!$G$46,2)*($B$15-80))</f>
        <v>0</v>
      </c>
    </row>
    <row r="138" spans="1:13" x14ac:dyDescent="0.2">
      <c r="A138" s="98"/>
      <c r="B138" s="98">
        <f>B131+B133+B135</f>
        <v>120</v>
      </c>
      <c r="C138" s="115" t="s">
        <v>17</v>
      </c>
      <c r="D138" s="138">
        <f t="shared" ref="D138:M138" si="185">D131+D133+D135+D137</f>
        <v>5792.92</v>
      </c>
      <c r="E138" s="138">
        <f t="shared" si="185"/>
        <v>5966.4399999999987</v>
      </c>
      <c r="F138" s="138">
        <f t="shared" si="185"/>
        <v>6139.7000000000007</v>
      </c>
      <c r="G138" s="138">
        <f t="shared" si="185"/>
        <v>6329.6</v>
      </c>
      <c r="H138" s="138">
        <f t="shared" si="185"/>
        <v>6521.6</v>
      </c>
      <c r="I138" s="138">
        <f t="shared" si="185"/>
        <v>6713.2</v>
      </c>
      <c r="J138" s="138">
        <f t="shared" si="185"/>
        <v>6905.2</v>
      </c>
      <c r="K138" s="138">
        <f t="shared" si="185"/>
        <v>7097.2</v>
      </c>
      <c r="L138" s="138">
        <f t="shared" si="185"/>
        <v>7288</v>
      </c>
      <c r="M138" s="138">
        <f t="shared" si="185"/>
        <v>7479.9999999999991</v>
      </c>
    </row>
    <row r="139" spans="1:13" x14ac:dyDescent="0.2">
      <c r="A139" s="98"/>
      <c r="B139" s="98"/>
      <c r="C139" s="115" t="s">
        <v>33</v>
      </c>
      <c r="D139" s="138">
        <f>D138*26</f>
        <v>150615.92000000001</v>
      </c>
      <c r="E139" s="138">
        <f t="shared" ref="E139" si="186">E138*26</f>
        <v>155127.43999999997</v>
      </c>
      <c r="F139" s="138">
        <f t="shared" ref="F139" si="187">F138*26</f>
        <v>159632.20000000001</v>
      </c>
      <c r="G139" s="138">
        <f t="shared" ref="G139" si="188">G138*26</f>
        <v>164569.60000000001</v>
      </c>
      <c r="H139" s="138">
        <f t="shared" ref="H139" si="189">H138*26</f>
        <v>169561.60000000001</v>
      </c>
      <c r="I139" s="138">
        <f t="shared" ref="I139" si="190">I138*26</f>
        <v>174543.19999999998</v>
      </c>
      <c r="J139" s="138">
        <f t="shared" ref="J139" si="191">J138*26</f>
        <v>179535.19999999998</v>
      </c>
      <c r="K139" s="138">
        <f t="shared" ref="K139" si="192">K138*26</f>
        <v>184527.19999999998</v>
      </c>
      <c r="L139" s="138">
        <f t="shared" ref="L139" si="193">L138*26</f>
        <v>189488</v>
      </c>
      <c r="M139" s="138">
        <f t="shared" ref="M139" si="194">M138*26</f>
        <v>194479.99999999997</v>
      </c>
    </row>
    <row r="140" spans="1:13" s="134" customFormat="1" x14ac:dyDescent="0.2">
      <c r="A140" s="112"/>
      <c r="B140" s="112"/>
      <c r="C140" s="113" t="s">
        <v>66</v>
      </c>
      <c r="D140" s="139">
        <f>((D132*80)+(D134*($B$15-80)))*26</f>
        <v>149604</v>
      </c>
      <c r="E140" s="139">
        <f t="shared" ref="E140:M140" si="195">((E132*80)+(E134*($B$15-80)))*26</f>
        <v>154595.99999999997</v>
      </c>
      <c r="F140" s="139">
        <f t="shared" si="195"/>
        <v>159577.60000000001</v>
      </c>
      <c r="G140" s="139">
        <f t="shared" si="195"/>
        <v>164569.60000000001</v>
      </c>
      <c r="H140" s="139">
        <f t="shared" si="195"/>
        <v>169561.60000000001</v>
      </c>
      <c r="I140" s="139">
        <f t="shared" si="195"/>
        <v>174543.19999999998</v>
      </c>
      <c r="J140" s="139">
        <f t="shared" si="195"/>
        <v>179535.19999999998</v>
      </c>
      <c r="K140" s="139">
        <f t="shared" si="195"/>
        <v>184527.19999999998</v>
      </c>
      <c r="L140" s="139">
        <f t="shared" si="195"/>
        <v>189488</v>
      </c>
      <c r="M140" s="116">
        <f t="shared" si="195"/>
        <v>194480</v>
      </c>
    </row>
    <row r="141" spans="1:13" x14ac:dyDescent="0.2">
      <c r="A141" s="81"/>
      <c r="B141" s="81"/>
      <c r="C141" s="81"/>
      <c r="D141" s="81"/>
      <c r="E141" s="81"/>
      <c r="F141" s="81"/>
      <c r="G141" s="81"/>
      <c r="H141" s="81"/>
      <c r="I141" s="81"/>
      <c r="J141" s="81"/>
      <c r="K141" s="81"/>
      <c r="L141" s="81"/>
      <c r="M141" s="142"/>
    </row>
    <row r="142" spans="1:13" x14ac:dyDescent="0.2">
      <c r="A142" s="81"/>
      <c r="B142" s="81"/>
      <c r="C142" s="81"/>
      <c r="D142" s="81"/>
      <c r="E142" s="81"/>
      <c r="F142" s="81"/>
      <c r="G142" s="81"/>
      <c r="H142" s="81"/>
      <c r="I142" s="81"/>
      <c r="J142" s="81"/>
      <c r="K142" s="81"/>
      <c r="L142" s="81"/>
      <c r="M142" s="81"/>
    </row>
    <row r="143" spans="1:13" x14ac:dyDescent="0.2">
      <c r="A143" s="93" t="s">
        <v>70</v>
      </c>
      <c r="B143" s="93"/>
      <c r="C143" s="81"/>
      <c r="D143" s="81"/>
      <c r="E143" s="81"/>
      <c r="F143" s="81"/>
      <c r="G143" s="81"/>
      <c r="H143" s="81"/>
      <c r="I143" s="81"/>
      <c r="J143" s="81"/>
      <c r="K143" s="81"/>
      <c r="L143" s="81"/>
      <c r="M143" s="81"/>
    </row>
    <row r="144" spans="1:13" x14ac:dyDescent="0.2">
      <c r="A144" s="93" t="s">
        <v>67</v>
      </c>
      <c r="B144" s="81"/>
      <c r="C144" s="81"/>
      <c r="D144" s="81"/>
      <c r="E144" s="81"/>
      <c r="F144" s="81"/>
      <c r="G144" s="81"/>
      <c r="H144" s="81"/>
      <c r="I144" s="81"/>
      <c r="J144" s="81"/>
      <c r="K144" s="81"/>
      <c r="L144" s="81"/>
      <c r="M144" s="81"/>
    </row>
    <row r="145" spans="1:13" x14ac:dyDescent="0.2">
      <c r="A145" s="93"/>
      <c r="B145" s="81"/>
      <c r="C145" s="81"/>
      <c r="D145" s="81"/>
      <c r="E145" s="81"/>
      <c r="F145" s="81"/>
      <c r="G145" s="81"/>
      <c r="H145" s="81"/>
      <c r="I145" s="81"/>
      <c r="J145" s="81"/>
      <c r="K145" s="81"/>
      <c r="L145" s="81"/>
      <c r="M145" s="81"/>
    </row>
    <row r="146" spans="1:13" x14ac:dyDescent="0.2">
      <c r="A146" s="93" t="s">
        <v>68</v>
      </c>
      <c r="E146" s="91"/>
      <c r="G146" s="88"/>
    </row>
    <row r="147" spans="1:13" x14ac:dyDescent="0.2">
      <c r="A147" s="93" t="s">
        <v>69</v>
      </c>
      <c r="E147" s="91"/>
      <c r="G147" s="88"/>
    </row>
    <row r="148" spans="1:13" x14ac:dyDescent="0.2">
      <c r="A148" s="81" t="s">
        <v>19</v>
      </c>
      <c r="B148" s="81"/>
      <c r="C148" s="81"/>
      <c r="D148" s="81"/>
      <c r="E148" s="81"/>
      <c r="F148" s="81"/>
      <c r="G148" s="81"/>
      <c r="H148" s="81"/>
      <c r="I148" s="81"/>
      <c r="J148" s="81"/>
      <c r="K148" s="81"/>
      <c r="L148" s="81"/>
      <c r="M148" s="81"/>
    </row>
    <row r="149" spans="1:13" x14ac:dyDescent="0.2">
      <c r="A149" s="93" t="s">
        <v>32</v>
      </c>
      <c r="B149" s="93"/>
      <c r="C149" s="81"/>
      <c r="D149" s="81"/>
      <c r="E149" s="81"/>
      <c r="F149" s="81"/>
      <c r="G149" s="137">
        <f>ROUND(ROUND(D85/2087,2)*1.5,2)</f>
        <v>42.29</v>
      </c>
      <c r="I149" s="81"/>
      <c r="J149" s="81"/>
      <c r="K149" s="81"/>
      <c r="L149" s="81"/>
      <c r="M149" s="81"/>
    </row>
    <row r="150" spans="1:13" x14ac:dyDescent="0.2">
      <c r="A150" s="81"/>
      <c r="B150" s="81"/>
      <c r="C150" s="81"/>
      <c r="D150" s="81"/>
      <c r="E150" s="81"/>
      <c r="F150" s="81"/>
      <c r="G150" s="81"/>
      <c r="H150" s="81"/>
      <c r="I150" s="81"/>
      <c r="J150" s="81"/>
      <c r="K150" s="81"/>
      <c r="L150" s="81"/>
      <c r="M150" s="81"/>
    </row>
    <row r="151" spans="1:13" x14ac:dyDescent="0.2">
      <c r="A151" s="93" t="s">
        <v>35</v>
      </c>
      <c r="B151" s="93"/>
      <c r="C151" s="81"/>
      <c r="D151" s="81"/>
      <c r="E151" s="81"/>
      <c r="F151" s="81"/>
      <c r="G151" s="81"/>
      <c r="H151" s="81"/>
      <c r="I151" s="81"/>
      <c r="J151" s="81"/>
      <c r="K151" s="81"/>
      <c r="L151" s="81"/>
      <c r="M151" s="81"/>
    </row>
  </sheetData>
  <sheetProtection algorithmName="SHA-512" hashValue="S+NeYUS+41VsOzE3z1M15Sxu/Ttp3DoAoGoaTI8Upr55ziB7d1RX0CWIsuf3po6S5MAtg/gjKo2HJ3zXHPu4IA==" saltValue="U4vrUzdovpv8oZ7QauDkug==" spinCount="100000" sheet="1" objects="1" scenarios="1"/>
  <mergeCells count="4">
    <mergeCell ref="F4:I4"/>
    <mergeCell ref="G5:H5"/>
    <mergeCell ref="A1:M1"/>
    <mergeCell ref="A2:M2"/>
  </mergeCells>
  <phoneticPr fontId="0" type="noConversion"/>
  <hyperlinks>
    <hyperlink ref="G5:H5" location="'Start Page'!G2" display="Return to Start Page" xr:uid="{00000000-0004-0000-0700-000000000000}"/>
  </hyperlinks>
  <printOptions horizontalCentered="1" verticalCentered="1"/>
  <pageMargins left="0.5" right="0.5" top="0.5" bottom="0.5" header="0.5" footer="0.5"/>
  <pageSetup scale="75" fitToHeight="2" orientation="landscape" horizontalDpi="300" verticalDpi="300" r:id="rId1"/>
  <headerFooter alignWithMargins="0"/>
  <rowBreaks count="2" manualBreakCount="2">
    <brk id="50" max="12" man="1"/>
    <brk id="95" max="12" man="1"/>
  </rowBreaks>
  <legacy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38</vt:i4>
      </vt:variant>
    </vt:vector>
  </HeadingPairs>
  <TitlesOfParts>
    <vt:vector size="46" baseType="lpstr">
      <vt:lpstr>Start Page</vt:lpstr>
      <vt:lpstr>GS Pay Calculator</vt:lpstr>
      <vt:lpstr>GS Pay - No Locality</vt:lpstr>
      <vt:lpstr>Locality Rates</vt:lpstr>
      <vt:lpstr>Pay Retention &amp; Special Rates</vt:lpstr>
      <vt:lpstr>GS Pay Scale</vt:lpstr>
      <vt:lpstr>Shift Firefighters</vt:lpstr>
      <vt:lpstr>Chief, Training, Inspectors</vt:lpstr>
      <vt:lpstr>Inspectors</vt:lpstr>
      <vt:lpstr>Locality</vt:lpstr>
      <vt:lpstr>Post</vt:lpstr>
      <vt:lpstr>'Chief, Training, Inspectors'!Print_Area</vt:lpstr>
      <vt:lpstr>'Locality Rates'!Print_Area</vt:lpstr>
      <vt:lpstr>Shift</vt:lpstr>
      <vt:lpstr>'GS Pay Scale'!TABLE</vt:lpstr>
      <vt:lpstr>'GS Pay Scale'!TABLE_10</vt:lpstr>
      <vt:lpstr>'GS Pay Scale'!TABLE_11</vt:lpstr>
      <vt:lpstr>'GS Pay Scale'!TABLE_12</vt:lpstr>
      <vt:lpstr>'GS Pay Scale'!TABLE_13</vt:lpstr>
      <vt:lpstr>'GS Pay Scale'!TABLE_14</vt:lpstr>
      <vt:lpstr>'GS Pay Scale'!TABLE_15</vt:lpstr>
      <vt:lpstr>'GS Pay Scale'!TABLE_16</vt:lpstr>
      <vt:lpstr>'GS Pay Scale'!TABLE_17</vt:lpstr>
      <vt:lpstr>'GS Pay Scale'!TABLE_18</vt:lpstr>
      <vt:lpstr>'GS Pay Scale'!TABLE_19</vt:lpstr>
      <vt:lpstr>'GS Pay Scale'!TABLE_2</vt:lpstr>
      <vt:lpstr>'GS Pay Scale'!TABLE_20</vt:lpstr>
      <vt:lpstr>'GS Pay Scale'!TABLE_21</vt:lpstr>
      <vt:lpstr>'GS Pay Scale'!TABLE_22</vt:lpstr>
      <vt:lpstr>'GS Pay Scale'!TABLE_23</vt:lpstr>
      <vt:lpstr>'GS Pay Scale'!TABLE_24</vt:lpstr>
      <vt:lpstr>'GS Pay Scale'!TABLE_25</vt:lpstr>
      <vt:lpstr>'GS Pay Scale'!TABLE_26</vt:lpstr>
      <vt:lpstr>'GS Pay Scale'!TABLE_27</vt:lpstr>
      <vt:lpstr>'GS Pay Scale'!TABLE_28</vt:lpstr>
      <vt:lpstr>'GS Pay Scale'!TABLE_29</vt:lpstr>
      <vt:lpstr>'GS Pay Scale'!TABLE_3</vt:lpstr>
      <vt:lpstr>'GS Pay Scale'!TABLE_30</vt:lpstr>
      <vt:lpstr>'GS Pay Scale'!TABLE_31</vt:lpstr>
      <vt:lpstr>'GS Pay Scale'!TABLE_32</vt:lpstr>
      <vt:lpstr>'GS Pay Scale'!TABLE_4</vt:lpstr>
      <vt:lpstr>'GS Pay Scale'!TABLE_5</vt:lpstr>
      <vt:lpstr>'GS Pay Scale'!TABLE_6</vt:lpstr>
      <vt:lpstr>'GS Pay Scale'!TABLE_7</vt:lpstr>
      <vt:lpstr>'GS Pay Scale'!TABLE_8</vt:lpstr>
      <vt:lpstr>'GS Pay Scale'!TABLE_9</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General Schedule</dc:title>
  <dc:creator>Tony Fanchi</dc:creator>
  <cp:lastModifiedBy>Anthony Fanchi</cp:lastModifiedBy>
  <cp:lastPrinted>2020-01-04T17:21:15Z</cp:lastPrinted>
  <dcterms:created xsi:type="dcterms:W3CDTF">1999-02-27T03:27:03Z</dcterms:created>
  <dcterms:modified xsi:type="dcterms:W3CDTF">2021-01-02T22:35:52Z</dcterms:modified>
</cp:coreProperties>
</file>