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https://d.docs.live.net/fdc73e368eb453fc/Documents/Pay ^0 Retirement Briefing/"/>
    </mc:Choice>
  </mc:AlternateContent>
  <xr:revisionPtr revIDLastSave="183" documentId="8_{0D8AA728-1815-41E0-AB18-3EF7594C545E}" xr6:coauthVersionLast="47" xr6:coauthVersionMax="47" xr10:uidLastSave="{E7D75592-50B9-4E2D-BBFD-22DE8484DF86}"/>
  <workbookProtection workbookAlgorithmName="SHA-512" workbookHashValue="oKsH4x4FM4WWOn+dcswrR2QY8qwkvRk2x813YsCXnNY0yv7dTvKRlRCOyrq2YHdtLhha9om9RCk0Grc9ahmEig==" workbookSaltValue="E+ggS4eqtucZ5v/tRaYqUQ==" workbookSpinCount="100000" lockStructure="1"/>
  <bookViews>
    <workbookView xWindow="-108" yWindow="-108" windowWidth="23256" windowHeight="12576" tabRatio="928" xr2:uid="{00000000-000D-0000-FFFF-FFFF00000000}"/>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s>
  <externalReferences>
    <externalReference r:id="rId9"/>
    <externalReference r:id="rId10"/>
  </externalReferences>
  <definedNames>
    <definedName name="COLA">#REF!</definedName>
    <definedName name="Hours">[1]Data!$A$6:$A$8</definedName>
    <definedName name="Inspectors">'GS Pay Calculator'!$A$33:$A$35</definedName>
    <definedName name="Locality">'Locality Rates'!$A$2:$A$65</definedName>
    <definedName name="Locality2005">'[2]Locality Rates'!$A$2:$A$52</definedName>
    <definedName name="Payperiods">'GS Pay Calculator'!#REF!</definedName>
    <definedName name="Post">'GS Pay Calculator'!$A$37:$A$38</definedName>
    <definedName name="_xlnm.Print_Area" localSheetId="7">'Chief, Training, Inspectors'!$A$1:$M$151</definedName>
    <definedName name="_xlnm.Print_Area" localSheetId="3">'Locality Rates'!$A$1:$C$69</definedName>
    <definedName name="Schedule">[1]Data!$A$2:$A$3</definedName>
    <definedName name="Shift">'GS Pay Calculator'!$A$31:$A$34</definedName>
    <definedName name="Shift1">'GS Pay Calculator'!#REF!</definedName>
    <definedName name="TABLE" localSheetId="5">'GS Pay Scale'!$A$6:$K$37</definedName>
    <definedName name="TABLE_10" localSheetId="5">'GS Pay Scale'!$A$6:$K$37</definedName>
    <definedName name="TABLE_11" localSheetId="5">'GS Pay Scale'!$A$6:$K$37</definedName>
    <definedName name="TABLE_12" localSheetId="5">'GS Pay Scale'!$A$6:$K$37</definedName>
    <definedName name="TABLE_13" localSheetId="5">'GS Pay Scale'!$A$6:$K$37</definedName>
    <definedName name="TABLE_14" localSheetId="5">'GS Pay Scale'!$A$6:$K$37</definedName>
    <definedName name="TABLE_15" localSheetId="5">'GS Pay Scale'!$A$6:$K$37</definedName>
    <definedName name="TABLE_16" localSheetId="5">'GS Pay Scale'!$A$6:$K$37</definedName>
    <definedName name="TABLE_17" localSheetId="5">'GS Pay Scale'!$A$6:$K$37</definedName>
    <definedName name="TABLE_18" localSheetId="5">'GS Pay Scale'!$A$6:$K$37</definedName>
    <definedName name="TABLE_19" localSheetId="5">'GS Pay Scale'!$A$6:$K$37</definedName>
    <definedName name="TABLE_2" localSheetId="5">'GS Pay Scale'!$A$6:$K$37</definedName>
    <definedName name="TABLE_20" localSheetId="5">'GS Pay Scale'!$A$6:$K$37</definedName>
    <definedName name="TABLE_21" localSheetId="5">'GS Pay Scale'!$A$6:$K$37</definedName>
    <definedName name="TABLE_22" localSheetId="5">'GS Pay Scale'!$A$6:$K$37</definedName>
    <definedName name="TABLE_23" localSheetId="5">'GS Pay Scale'!$A$6:$K$37</definedName>
    <definedName name="TABLE_24" localSheetId="5">'GS Pay Scale'!$A$6:$K$37</definedName>
    <definedName name="TABLE_25" localSheetId="5">'GS Pay Scale'!$A$6:$K$37</definedName>
    <definedName name="TABLE_26" localSheetId="5">'GS Pay Scale'!$A$6:$K$37</definedName>
    <definedName name="TABLE_27" localSheetId="5">'GS Pay Scale'!$A$6:$K$37</definedName>
    <definedName name="TABLE_28" localSheetId="5">'GS Pay Scale'!$A$6:$K$37</definedName>
    <definedName name="TABLE_29" localSheetId="5">'GS Pay Scale'!$A$6:$K$37</definedName>
    <definedName name="TABLE_3" localSheetId="5">'GS Pay Scale'!$A$6:$K$37</definedName>
    <definedName name="TABLE_30" localSheetId="5">'GS Pay Scale'!$A$6:$K$37</definedName>
    <definedName name="TABLE_31" localSheetId="5">'GS Pay Scale'!$A$6:$K$37</definedName>
    <definedName name="TABLE_32" localSheetId="5">'GS Pay Scale'!$A$41:$K$52</definedName>
    <definedName name="TABLE_4" localSheetId="5">'GS Pay Scale'!$A$6:$K$37</definedName>
    <definedName name="TABLE_5" localSheetId="5">'GS Pay Scale'!$A$6:$K$37</definedName>
    <definedName name="TABLE_6" localSheetId="5">'GS Pay Scale'!$A$6:$K$37</definedName>
    <definedName name="TABLE_7" localSheetId="5">'GS Pay Scale'!$A$6:$K$37</definedName>
    <definedName name="TABLE_8" localSheetId="5">'GS Pay Scale'!$A$6:$K$37</definedName>
    <definedName name="TABLE_9" localSheetId="5">'GS Pay Scale'!$A$6:$K$37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8" i="28" l="1"/>
  <c r="C59" i="28"/>
  <c r="C63" i="28"/>
  <c r="C2" i="28"/>
  <c r="C3" i="28"/>
  <c r="C4" i="28"/>
  <c r="C5" i="28"/>
  <c r="C6" i="28"/>
  <c r="C7" i="28"/>
  <c r="C8" i="28"/>
  <c r="C9" i="28"/>
  <c r="C10" i="28"/>
  <c r="C11" i="28"/>
  <c r="C12" i="28"/>
  <c r="C13" i="28"/>
  <c r="C14" i="28"/>
  <c r="C15" i="28"/>
  <c r="C16" i="28"/>
  <c r="C17" i="28"/>
  <c r="C18"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60" i="28"/>
  <c r="C61" i="28"/>
  <c r="C62" i="28"/>
  <c r="C64" i="28"/>
  <c r="C65" i="28"/>
  <c r="A44" i="7"/>
  <c r="E24" i="28" l="1"/>
  <c r="A2" i="4" l="1"/>
  <c r="A2" i="1"/>
  <c r="A40" i="11" l="1"/>
  <c r="A6" i="11" l="1"/>
  <c r="E56" i="28" l="1"/>
  <c r="E50" i="28"/>
  <c r="E41" i="28"/>
  <c r="E12" i="28"/>
  <c r="E9" i="28"/>
  <c r="E57" i="28" l="1"/>
  <c r="E55" i="28"/>
  <c r="E54" i="28"/>
  <c r="E53" i="28"/>
  <c r="E52" i="28"/>
  <c r="E51" i="28"/>
  <c r="E27" i="28"/>
  <c r="E26" i="28"/>
  <c r="E25" i="28"/>
  <c r="E23" i="28"/>
  <c r="E22" i="28"/>
  <c r="E21" i="28"/>
  <c r="E20" i="28"/>
  <c r="C48" i="11" l="1"/>
  <c r="A5" i="25"/>
  <c r="E65" i="28"/>
  <c r="E64" i="28"/>
  <c r="E28" i="28"/>
  <c r="E29" i="28"/>
  <c r="E4" i="28"/>
  <c r="E3" i="28"/>
  <c r="E62" i="28"/>
  <c r="E61" i="28"/>
  <c r="E60" i="28"/>
  <c r="E49" i="28"/>
  <c r="E48" i="28"/>
  <c r="E47" i="28"/>
  <c r="E46" i="28"/>
  <c r="E45" i="28"/>
  <c r="E44" i="28"/>
  <c r="E43" i="28"/>
  <c r="E42" i="28"/>
  <c r="E40" i="28"/>
  <c r="E39" i="28"/>
  <c r="E38" i="28"/>
  <c r="E37" i="28"/>
  <c r="E36" i="28"/>
  <c r="E35" i="28"/>
  <c r="E34" i="28"/>
  <c r="E33" i="28"/>
  <c r="E32" i="28"/>
  <c r="E31" i="28"/>
  <c r="E30" i="28"/>
  <c r="E18" i="28"/>
  <c r="E17" i="28"/>
  <c r="E16" i="28"/>
  <c r="E15" i="28"/>
  <c r="E14" i="28"/>
  <c r="E13" i="28"/>
  <c r="E11" i="28"/>
  <c r="E10" i="28"/>
  <c r="E8" i="28"/>
  <c r="E7" i="28"/>
  <c r="E6" i="28"/>
  <c r="E5" i="28"/>
  <c r="E2" i="28"/>
  <c r="G32" i="11"/>
  <c r="G4" i="7" s="1"/>
  <c r="A2" i="7"/>
  <c r="K17" i="26"/>
  <c r="E10" i="26" s="1"/>
  <c r="K18" i="26"/>
  <c r="K19" i="26"/>
  <c r="K20" i="26"/>
  <c r="K21" i="26"/>
  <c r="K22" i="26"/>
  <c r="K23" i="26"/>
  <c r="K24" i="26"/>
  <c r="F15" i="25"/>
  <c r="C32" i="11"/>
  <c r="F25" i="25"/>
  <c r="F28" i="25" s="1"/>
  <c r="B23" i="25"/>
  <c r="B26" i="25" s="1"/>
  <c r="G3" i="4"/>
  <c r="B45" i="4" s="1"/>
  <c r="B48" i="4" s="1"/>
  <c r="G3" i="1"/>
  <c r="B46" i="1" s="1"/>
  <c r="B49" i="1" s="1"/>
  <c r="J17" i="26"/>
  <c r="J18" i="26" s="1"/>
  <c r="J19" i="26" s="1"/>
  <c r="J20" i="26" s="1"/>
  <c r="J21" i="26" s="1"/>
  <c r="J22" i="26" s="1"/>
  <c r="J23" i="26" s="1"/>
  <c r="J24" i="26" s="1"/>
  <c r="D2" i="26"/>
  <c r="F2" i="26" s="1"/>
  <c r="H2" i="26" s="1"/>
  <c r="J2" i="26" s="1"/>
  <c r="B16" i="26" s="1"/>
  <c r="D16" i="26" s="1"/>
  <c r="F16" i="26" s="1"/>
  <c r="H16" i="26" s="1"/>
  <c r="A44" i="11"/>
  <c r="A45" i="11" s="1"/>
  <c r="A46" i="11" s="1"/>
  <c r="A47" i="11" s="1"/>
  <c r="H20" i="25" l="1"/>
  <c r="H24" i="25" s="1"/>
  <c r="H23" i="25" s="1"/>
  <c r="G3" i="7"/>
  <c r="A1" i="7"/>
  <c r="F4" i="1"/>
  <c r="A1" i="4"/>
  <c r="F4" i="4"/>
  <c r="A1" i="1"/>
  <c r="E5" i="7"/>
  <c r="B102" i="4"/>
  <c r="B105" i="4" s="1"/>
  <c r="B57" i="4"/>
  <c r="B60" i="4" s="1"/>
  <c r="B34" i="4"/>
  <c r="B37" i="4" s="1"/>
  <c r="B79" i="4"/>
  <c r="B82" i="4" s="1"/>
  <c r="B68" i="4"/>
  <c r="B71" i="4" s="1"/>
  <c r="C44" i="11"/>
  <c r="C45" i="11" s="1"/>
  <c r="C46" i="11" s="1"/>
  <c r="C47" i="11" s="1"/>
  <c r="B113" i="4"/>
  <c r="B116" i="4" s="1"/>
  <c r="B12" i="4"/>
  <c r="B15" i="4" s="1"/>
  <c r="B23" i="4"/>
  <c r="B26" i="4" s="1"/>
  <c r="B135" i="4"/>
  <c r="B138" i="4" s="1"/>
  <c r="B124" i="4"/>
  <c r="B127" i="4" s="1"/>
  <c r="B90" i="4"/>
  <c r="B93" i="4" s="1"/>
  <c r="B74" i="1"/>
  <c r="B77" i="1" s="1"/>
  <c r="B110" i="1"/>
  <c r="B113" i="1" s="1"/>
  <c r="D11" i="26"/>
  <c r="F11" i="26" s="1"/>
  <c r="H11" i="26" s="1"/>
  <c r="J11" i="26" s="1"/>
  <c r="B25" i="26" s="1"/>
  <c r="D25" i="26" s="1"/>
  <c r="F25" i="26" s="1"/>
  <c r="H25" i="26" s="1"/>
  <c r="B12" i="27" s="1"/>
  <c r="B37" i="1"/>
  <c r="B40" i="1" s="1"/>
  <c r="B65" i="1"/>
  <c r="B68" i="1" s="1"/>
  <c r="B101" i="1"/>
  <c r="B104" i="1" s="1"/>
  <c r="D20" i="25"/>
  <c r="D22" i="25" s="1"/>
  <c r="D28" i="25" s="1"/>
  <c r="B55" i="1"/>
  <c r="B58" i="1" s="1"/>
  <c r="B19" i="1"/>
  <c r="B22" i="1" s="1"/>
  <c r="B28" i="1"/>
  <c r="B31" i="1" s="1"/>
  <c r="B83" i="1"/>
  <c r="B86" i="1" s="1"/>
  <c r="B10" i="1"/>
  <c r="B13" i="1" s="1"/>
  <c r="B92" i="1"/>
  <c r="B95" i="1" s="1"/>
  <c r="E9" i="26"/>
  <c r="G9" i="26" s="1"/>
  <c r="I9" i="26" s="1"/>
  <c r="K9" i="26" s="1"/>
  <c r="C23" i="26" s="1"/>
  <c r="E23" i="26" s="1"/>
  <c r="G23" i="26" s="1"/>
  <c r="I23" i="26" s="1"/>
  <c r="D5" i="26"/>
  <c r="F5" i="26" s="1"/>
  <c r="H5" i="26" s="1"/>
  <c r="J5" i="26" s="1"/>
  <c r="B19" i="26" s="1"/>
  <c r="D19" i="26" s="1"/>
  <c r="F19" i="26" s="1"/>
  <c r="H19" i="26" s="1"/>
  <c r="B6" i="27" s="1"/>
  <c r="E4" i="26"/>
  <c r="G4" i="26" s="1"/>
  <c r="I4" i="26" s="1"/>
  <c r="K4" i="26" s="1"/>
  <c r="C18" i="26" s="1"/>
  <c r="E18" i="26" s="1"/>
  <c r="G18" i="26" s="1"/>
  <c r="I18" i="26" s="1"/>
  <c r="D14" i="26"/>
  <c r="F14" i="26" s="1"/>
  <c r="H14" i="26" s="1"/>
  <c r="J14" i="26" s="1"/>
  <c r="B28" i="26" s="1"/>
  <c r="D28" i="26" s="1"/>
  <c r="F28" i="26" s="1"/>
  <c r="H28" i="26" s="1"/>
  <c r="B15" i="27" s="1"/>
  <c r="D7" i="26"/>
  <c r="F7" i="26" s="1"/>
  <c r="H7" i="26" s="1"/>
  <c r="J7" i="26" s="1"/>
  <c r="B21" i="26" s="1"/>
  <c r="D21" i="26" s="1"/>
  <c r="F21" i="26" s="1"/>
  <c r="H21" i="26" s="1"/>
  <c r="B8" i="27" s="1"/>
  <c r="D13" i="26"/>
  <c r="F13" i="26" s="1"/>
  <c r="H13" i="26" s="1"/>
  <c r="J13" i="26" s="1"/>
  <c r="B27" i="26" s="1"/>
  <c r="D27" i="26" s="1"/>
  <c r="F27" i="26" s="1"/>
  <c r="H27" i="26" s="1"/>
  <c r="B14" i="27" s="1"/>
  <c r="D8" i="26"/>
  <c r="F8" i="26" s="1"/>
  <c r="H8" i="26" s="1"/>
  <c r="J8" i="26" s="1"/>
  <c r="B22" i="26" s="1"/>
  <c r="D22" i="26" s="1"/>
  <c r="F22" i="26" s="1"/>
  <c r="H22" i="26" s="1"/>
  <c r="B9" i="27" s="1"/>
  <c r="E7" i="26"/>
  <c r="G7" i="26" s="1"/>
  <c r="I7" i="26" s="1"/>
  <c r="K7" i="26" s="1"/>
  <c r="C21" i="26" s="1"/>
  <c r="E21" i="26" s="1"/>
  <c r="G21" i="26" s="1"/>
  <c r="I21" i="26" s="1"/>
  <c r="E8" i="26"/>
  <c r="G8" i="26" s="1"/>
  <c r="I8" i="26" s="1"/>
  <c r="K8" i="26" s="1"/>
  <c r="C22" i="26" s="1"/>
  <c r="E22" i="26" s="1"/>
  <c r="G22" i="26" s="1"/>
  <c r="I22" i="26" s="1"/>
  <c r="E13" i="26"/>
  <c r="G13" i="26" s="1"/>
  <c r="I13" i="26" s="1"/>
  <c r="K13" i="26" s="1"/>
  <c r="C27" i="26" s="1"/>
  <c r="E27" i="26" s="1"/>
  <c r="G27" i="26" s="1"/>
  <c r="I27" i="26" s="1"/>
  <c r="D12" i="26"/>
  <c r="F12" i="26" s="1"/>
  <c r="H12" i="26" s="1"/>
  <c r="J12" i="26" s="1"/>
  <c r="B26" i="26" s="1"/>
  <c r="D26" i="26" s="1"/>
  <c r="F26" i="26" s="1"/>
  <c r="H26" i="26" s="1"/>
  <c r="B13" i="27" s="1"/>
  <c r="E11" i="26"/>
  <c r="G11" i="26" s="1"/>
  <c r="I11" i="26" s="1"/>
  <c r="K11" i="26" s="1"/>
  <c r="C25" i="26" s="1"/>
  <c r="E25" i="26" s="1"/>
  <c r="G25" i="26" s="1"/>
  <c r="I25" i="26" s="1"/>
  <c r="E14" i="26"/>
  <c r="G14" i="26" s="1"/>
  <c r="I14" i="26" s="1"/>
  <c r="K14" i="26" s="1"/>
  <c r="C28" i="26" s="1"/>
  <c r="E28" i="26" s="1"/>
  <c r="G28" i="26" s="1"/>
  <c r="I28" i="26" s="1"/>
  <c r="D4" i="26"/>
  <c r="F4" i="26" s="1"/>
  <c r="H4" i="26" s="1"/>
  <c r="J4" i="26" s="1"/>
  <c r="B18" i="26" s="1"/>
  <c r="D18" i="26" s="1"/>
  <c r="F18" i="26" s="1"/>
  <c r="H18" i="26" s="1"/>
  <c r="B5" i="27" s="1"/>
  <c r="E5" i="26"/>
  <c r="G5" i="26" s="1"/>
  <c r="I5" i="26" s="1"/>
  <c r="K5" i="26" s="1"/>
  <c r="C19" i="26" s="1"/>
  <c r="E19" i="26" s="1"/>
  <c r="G19" i="26" s="1"/>
  <c r="I19" i="26" s="1"/>
  <c r="D6" i="26"/>
  <c r="F6" i="26" s="1"/>
  <c r="H6" i="26" s="1"/>
  <c r="J6" i="26" s="1"/>
  <c r="B20" i="26" s="1"/>
  <c r="D20" i="26" s="1"/>
  <c r="F20" i="26" s="1"/>
  <c r="H20" i="26" s="1"/>
  <c r="B7" i="27" s="1"/>
  <c r="E6" i="26"/>
  <c r="G6" i="26" s="1"/>
  <c r="I6" i="26" s="1"/>
  <c r="K6" i="26" s="1"/>
  <c r="C20" i="26" s="1"/>
  <c r="E20" i="26" s="1"/>
  <c r="G20" i="26" s="1"/>
  <c r="I20" i="26" s="1"/>
  <c r="D3" i="26"/>
  <c r="F3" i="26" s="1"/>
  <c r="H3" i="26" s="1"/>
  <c r="J3" i="26" s="1"/>
  <c r="B17" i="26" s="1"/>
  <c r="D17" i="26" s="1"/>
  <c r="F17" i="26" s="1"/>
  <c r="H17" i="26" s="1"/>
  <c r="B4" i="27" s="1"/>
  <c r="E3" i="26"/>
  <c r="G3" i="26" s="1"/>
  <c r="I3" i="26" s="1"/>
  <c r="K3" i="26" s="1"/>
  <c r="C17" i="26" s="1"/>
  <c r="E17" i="26" s="1"/>
  <c r="G17" i="26" s="1"/>
  <c r="I17" i="26" s="1"/>
  <c r="D10" i="26"/>
  <c r="F10" i="26" s="1"/>
  <c r="H10" i="26" s="1"/>
  <c r="J10" i="26" s="1"/>
  <c r="B24" i="26" s="1"/>
  <c r="D24" i="26" s="1"/>
  <c r="F24" i="26" s="1"/>
  <c r="H24" i="26" s="1"/>
  <c r="B11" i="27" s="1"/>
  <c r="D9" i="26"/>
  <c r="F9" i="26" s="1"/>
  <c r="H9" i="26" s="1"/>
  <c r="J9" i="26" s="1"/>
  <c r="B23" i="26" s="1"/>
  <c r="D23" i="26" s="1"/>
  <c r="F23" i="26" s="1"/>
  <c r="H23" i="26" s="1"/>
  <c r="B10" i="27" s="1"/>
  <c r="E12" i="26"/>
  <c r="G12" i="26" s="1"/>
  <c r="I12" i="26" s="1"/>
  <c r="K12" i="26" s="1"/>
  <c r="C26" i="26" s="1"/>
  <c r="E26" i="26" s="1"/>
  <c r="G26" i="26" s="1"/>
  <c r="I26" i="26" s="1"/>
  <c r="G10" i="26"/>
  <c r="I10" i="26" s="1"/>
  <c r="K10" i="26" s="1"/>
  <c r="C24" i="26" s="1"/>
  <c r="E24" i="26" s="1"/>
  <c r="G24" i="26" s="1"/>
  <c r="I24" i="26" s="1"/>
  <c r="A10" i="11"/>
  <c r="H22" i="25" l="1"/>
  <c r="H27" i="25" s="1"/>
  <c r="B33" i="7"/>
  <c r="B28" i="7"/>
  <c r="B9" i="7" s="1"/>
  <c r="B29" i="7"/>
  <c r="B10" i="7" s="1"/>
  <c r="B38" i="7"/>
  <c r="B30" i="7"/>
  <c r="B34" i="7"/>
  <c r="B32" i="7"/>
  <c r="B36" i="7"/>
  <c r="B39" i="7"/>
  <c r="D25" i="25"/>
  <c r="D21" i="25"/>
  <c r="C13" i="27"/>
  <c r="D13" i="27" s="1"/>
  <c r="E13" i="27" s="1"/>
  <c r="C4" i="27"/>
  <c r="D4" i="27" s="1"/>
  <c r="C7" i="27"/>
  <c r="C31" i="7" s="1"/>
  <c r="C12" i="7" s="1"/>
  <c r="C15" i="27"/>
  <c r="C39" i="7" s="1"/>
  <c r="C20" i="7" s="1"/>
  <c r="B37" i="7"/>
  <c r="B31" i="7"/>
  <c r="C6" i="27"/>
  <c r="C30" i="7" s="1"/>
  <c r="C11" i="7" s="1"/>
  <c r="C10" i="27"/>
  <c r="D10" i="27" s="1"/>
  <c r="C11" i="27"/>
  <c r="C35" i="7" s="1"/>
  <c r="C16" i="7" s="1"/>
  <c r="C9" i="27"/>
  <c r="D9" i="27" s="1"/>
  <c r="C14" i="27"/>
  <c r="C38" i="7" s="1"/>
  <c r="C19" i="7" s="1"/>
  <c r="C5" i="27"/>
  <c r="C29" i="7" s="1"/>
  <c r="C10" i="7" s="1"/>
  <c r="C12" i="27"/>
  <c r="D12" i="27" s="1"/>
  <c r="B35" i="7"/>
  <c r="C8" i="27"/>
  <c r="C32" i="7" s="1"/>
  <c r="C13" i="7" s="1"/>
  <c r="E18" i="4" l="1"/>
  <c r="E16" i="1"/>
  <c r="E18" i="1" s="1"/>
  <c r="E24" i="1" s="1"/>
  <c r="E130" i="4"/>
  <c r="E107" i="1"/>
  <c r="E109" i="1" s="1"/>
  <c r="E115" i="1" s="1"/>
  <c r="E40" i="4"/>
  <c r="E34" i="1"/>
  <c r="E36" i="1" s="1"/>
  <c r="E42" i="1" s="1"/>
  <c r="D18" i="4"/>
  <c r="D22" i="4" s="1"/>
  <c r="D16" i="1"/>
  <c r="D18" i="1" s="1"/>
  <c r="D24" i="1" s="1"/>
  <c r="D7" i="4"/>
  <c r="D9" i="4" s="1"/>
  <c r="D7" i="1"/>
  <c r="D9" i="1" s="1"/>
  <c r="D15" i="1" s="1"/>
  <c r="E119" i="4"/>
  <c r="E98" i="1"/>
  <c r="E100" i="1" s="1"/>
  <c r="E106" i="1" s="1"/>
  <c r="E71" i="1"/>
  <c r="E73" i="1" s="1"/>
  <c r="E79" i="1" s="1"/>
  <c r="E85" i="4"/>
  <c r="E52" i="4"/>
  <c r="E43" i="1"/>
  <c r="E45" i="1" s="1"/>
  <c r="E51" i="1" s="1"/>
  <c r="E29" i="4"/>
  <c r="E25" i="1"/>
  <c r="E27" i="1" s="1"/>
  <c r="E33" i="1" s="1"/>
  <c r="B19" i="7"/>
  <c r="B20" i="7"/>
  <c r="B13" i="7"/>
  <c r="B18" i="7"/>
  <c r="B17" i="7"/>
  <c r="B15" i="7"/>
  <c r="B12" i="7"/>
  <c r="B16" i="7"/>
  <c r="B14" i="7"/>
  <c r="B11" i="7"/>
  <c r="H21" i="25"/>
  <c r="H30" i="25"/>
  <c r="D37" i="7"/>
  <c r="D8" i="27"/>
  <c r="E8" i="27" s="1"/>
  <c r="D5" i="27"/>
  <c r="E5" i="27" s="1"/>
  <c r="D15" i="27"/>
  <c r="E15" i="27" s="1"/>
  <c r="D11" i="27"/>
  <c r="E11" i="27" s="1"/>
  <c r="C28" i="7"/>
  <c r="C9" i="7" s="1"/>
  <c r="D7" i="27"/>
  <c r="E7" i="27" s="1"/>
  <c r="C37" i="7"/>
  <c r="D14" i="27"/>
  <c r="D38" i="7" s="1"/>
  <c r="D19" i="7" s="1"/>
  <c r="C33" i="7"/>
  <c r="D6" i="27"/>
  <c r="D30" i="7" s="1"/>
  <c r="D11" i="7" s="1"/>
  <c r="C36" i="7"/>
  <c r="C34" i="7"/>
  <c r="E37" i="7"/>
  <c r="E18" i="7" s="1"/>
  <c r="F13" i="27"/>
  <c r="D33" i="7"/>
  <c r="D14" i="7" s="1"/>
  <c r="E9" i="27"/>
  <c r="E10" i="27"/>
  <c r="D34" i="7"/>
  <c r="D15" i="7" s="1"/>
  <c r="E4" i="27"/>
  <c r="D28" i="7"/>
  <c r="D9" i="7" s="1"/>
  <c r="D36" i="7"/>
  <c r="D17" i="7" s="1"/>
  <c r="E12" i="27"/>
  <c r="F119" i="4" l="1"/>
  <c r="F98" i="1"/>
  <c r="F100" i="1" s="1"/>
  <c r="F106" i="1" s="1"/>
  <c r="D71" i="1"/>
  <c r="G122" i="1" s="1"/>
  <c r="E102" i="1" s="1"/>
  <c r="E101" i="1" s="1"/>
  <c r="D85" i="4"/>
  <c r="D89" i="4" s="1"/>
  <c r="D88" i="4" s="1"/>
  <c r="D52" i="4"/>
  <c r="D56" i="4" s="1"/>
  <c r="D55" i="4" s="1"/>
  <c r="D43" i="1"/>
  <c r="D45" i="1" s="1"/>
  <c r="D48" i="1" s="1"/>
  <c r="E7" i="1"/>
  <c r="E9" i="1" s="1"/>
  <c r="E15" i="1" s="1"/>
  <c r="E7" i="4"/>
  <c r="E11" i="4" s="1"/>
  <c r="D130" i="4"/>
  <c r="D132" i="4" s="1"/>
  <c r="D131" i="4" s="1"/>
  <c r="D107" i="1"/>
  <c r="D109" i="1" s="1"/>
  <c r="D112" i="1" s="1"/>
  <c r="D108" i="4"/>
  <c r="D110" i="4" s="1"/>
  <c r="D109" i="4" s="1"/>
  <c r="D89" i="1"/>
  <c r="D91" i="1" s="1"/>
  <c r="D97" i="1" s="1"/>
  <c r="D40" i="4"/>
  <c r="D42" i="4" s="1"/>
  <c r="D41" i="4" s="1"/>
  <c r="D34" i="1"/>
  <c r="D36" i="1" s="1"/>
  <c r="D42" i="1" s="1"/>
  <c r="F97" i="4"/>
  <c r="F80" i="1"/>
  <c r="F82" i="1" s="1"/>
  <c r="F88" i="1" s="1"/>
  <c r="G108" i="4"/>
  <c r="G89" i="1"/>
  <c r="G91" i="1" s="1"/>
  <c r="G97" i="1" s="1"/>
  <c r="D74" i="4"/>
  <c r="D78" i="4" s="1"/>
  <c r="D77" i="4" s="1"/>
  <c r="D62" i="1"/>
  <c r="D64" i="1" s="1"/>
  <c r="D70" i="1" s="1"/>
  <c r="D119" i="4"/>
  <c r="D121" i="4" s="1"/>
  <c r="D120" i="4" s="1"/>
  <c r="D98" i="1"/>
  <c r="D100" i="1" s="1"/>
  <c r="D106" i="1" s="1"/>
  <c r="F63" i="4"/>
  <c r="F52" i="1"/>
  <c r="F54" i="1" s="1"/>
  <c r="F60" i="1" s="1"/>
  <c r="D52" i="1"/>
  <c r="D54" i="1" s="1"/>
  <c r="D60" i="1" s="1"/>
  <c r="D63" i="4"/>
  <c r="D65" i="4" s="1"/>
  <c r="D64" i="4" s="1"/>
  <c r="F7" i="4"/>
  <c r="F7" i="1"/>
  <c r="F9" i="1" s="1"/>
  <c r="F15" i="1" s="1"/>
  <c r="D97" i="4"/>
  <c r="D101" i="4" s="1"/>
  <c r="D100" i="4" s="1"/>
  <c r="D80" i="1"/>
  <c r="D82" i="1" s="1"/>
  <c r="D88" i="1" s="1"/>
  <c r="F29" i="4"/>
  <c r="F25" i="1"/>
  <c r="F27" i="1" s="1"/>
  <c r="F33" i="1" s="1"/>
  <c r="F74" i="4"/>
  <c r="F62" i="1"/>
  <c r="F64" i="1" s="1"/>
  <c r="F70" i="1" s="1"/>
  <c r="D29" i="4"/>
  <c r="D33" i="4" s="1"/>
  <c r="D32" i="4" s="1"/>
  <c r="D25" i="1"/>
  <c r="D27" i="1" s="1"/>
  <c r="D30" i="1" s="1"/>
  <c r="D17" i="1"/>
  <c r="D21" i="1"/>
  <c r="D12" i="1"/>
  <c r="C15" i="7"/>
  <c r="D18" i="7"/>
  <c r="C17" i="7"/>
  <c r="C18" i="7"/>
  <c r="D8" i="1"/>
  <c r="C14" i="7"/>
  <c r="D29" i="7"/>
  <c r="D10" i="7" s="1"/>
  <c r="D32" i="7"/>
  <c r="D20" i="4"/>
  <c r="D11" i="4"/>
  <c r="D10" i="4" s="1"/>
  <c r="E14" i="27"/>
  <c r="F14" i="27" s="1"/>
  <c r="D35" i="7"/>
  <c r="D31" i="7"/>
  <c r="D39" i="7"/>
  <c r="E6" i="27"/>
  <c r="E30" i="7" s="1"/>
  <c r="E11" i="7" s="1"/>
  <c r="E17" i="1"/>
  <c r="E21" i="1"/>
  <c r="E30" i="1"/>
  <c r="E26" i="1"/>
  <c r="E28" i="7"/>
  <c r="E9" i="7" s="1"/>
  <c r="F4" i="27"/>
  <c r="E34" i="7"/>
  <c r="E15" i="7" s="1"/>
  <c r="F10" i="27"/>
  <c r="F11" i="27"/>
  <c r="E35" i="7"/>
  <c r="E16" i="7" s="1"/>
  <c r="E89" i="4"/>
  <c r="E87" i="4"/>
  <c r="E33" i="7"/>
  <c r="E14" i="7" s="1"/>
  <c r="F9" i="27"/>
  <c r="E48" i="1"/>
  <c r="E44" i="1"/>
  <c r="E20" i="4"/>
  <c r="E22" i="4"/>
  <c r="E33" i="4"/>
  <c r="E31" i="4"/>
  <c r="E108" i="1"/>
  <c r="E112" i="1"/>
  <c r="E35" i="1"/>
  <c r="E39" i="1"/>
  <c r="E76" i="1"/>
  <c r="E72" i="1"/>
  <c r="E32" i="7"/>
  <c r="E13" i="7" s="1"/>
  <c r="F8" i="27"/>
  <c r="E54" i="4"/>
  <c r="E56" i="4"/>
  <c r="E36" i="7"/>
  <c r="E17" i="7" s="1"/>
  <c r="F12" i="27"/>
  <c r="E132" i="4"/>
  <c r="E134" i="4"/>
  <c r="F15" i="27"/>
  <c r="E39" i="7"/>
  <c r="E20" i="7" s="1"/>
  <c r="E44" i="4"/>
  <c r="E42" i="4"/>
  <c r="E123" i="4"/>
  <c r="E121" i="4"/>
  <c r="E31" i="7"/>
  <c r="E12" i="7" s="1"/>
  <c r="F7" i="27"/>
  <c r="D8" i="4"/>
  <c r="G13" i="27"/>
  <c r="F37" i="7"/>
  <c r="F18" i="7" s="1"/>
  <c r="E29" i="7"/>
  <c r="E10" i="7" s="1"/>
  <c r="F5" i="27"/>
  <c r="D21" i="4"/>
  <c r="E103" i="1"/>
  <c r="E99" i="1"/>
  <c r="D103" i="1" l="1"/>
  <c r="D99" i="1"/>
  <c r="D31" i="4"/>
  <c r="D39" i="4" s="1"/>
  <c r="D115" i="1"/>
  <c r="D20" i="1"/>
  <c r="D19" i="1" s="1"/>
  <c r="D22" i="1" s="1"/>
  <c r="D23" i="1" s="1"/>
  <c r="E75" i="1"/>
  <c r="E74" i="1" s="1"/>
  <c r="E77" i="1" s="1"/>
  <c r="E78" i="1" s="1"/>
  <c r="D93" i="1"/>
  <c r="D92" i="1" s="1"/>
  <c r="D108" i="1"/>
  <c r="D44" i="4"/>
  <c r="D47" i="4" s="1"/>
  <c r="D29" i="1"/>
  <c r="D28" i="1" s="1"/>
  <c r="H26" i="25"/>
  <c r="H25" i="25" s="1"/>
  <c r="H28" i="25" s="1"/>
  <c r="H29" i="25" s="1"/>
  <c r="D26" i="1"/>
  <c r="D24" i="25"/>
  <c r="D23" i="25" s="1"/>
  <c r="D26" i="25" s="1"/>
  <c r="D27" i="25" s="1"/>
  <c r="D94" i="1"/>
  <c r="D33" i="1"/>
  <c r="D76" i="4"/>
  <c r="D56" i="1"/>
  <c r="D55" i="1" s="1"/>
  <c r="D63" i="1"/>
  <c r="G149" i="4"/>
  <c r="D24" i="4" s="1"/>
  <c r="D23" i="4" s="1"/>
  <c r="D11" i="1"/>
  <c r="D10" i="1" s="1"/>
  <c r="D13" i="1" s="1"/>
  <c r="D14" i="1" s="1"/>
  <c r="D38" i="1"/>
  <c r="D37" i="1" s="1"/>
  <c r="D111" i="1"/>
  <c r="D110" i="1" s="1"/>
  <c r="E38" i="1"/>
  <c r="E37" i="1" s="1"/>
  <c r="E40" i="1" s="1"/>
  <c r="E41" i="1" s="1"/>
  <c r="E47" i="1"/>
  <c r="E46" i="1" s="1"/>
  <c r="E49" i="1" s="1"/>
  <c r="E50" i="1" s="1"/>
  <c r="E29" i="1"/>
  <c r="E28" i="1" s="1"/>
  <c r="E31" i="1" s="1"/>
  <c r="E32" i="1" s="1"/>
  <c r="D87" i="4"/>
  <c r="D92" i="4" s="1"/>
  <c r="D73" i="1"/>
  <c r="D79" i="1" s="1"/>
  <c r="D102" i="1"/>
  <c r="D101" i="1" s="1"/>
  <c r="E20" i="1"/>
  <c r="E19" i="1" s="1"/>
  <c r="E22" i="1" s="1"/>
  <c r="E23" i="1" s="1"/>
  <c r="E111" i="1"/>
  <c r="E110" i="1" s="1"/>
  <c r="E113" i="1" s="1"/>
  <c r="E114" i="1" s="1"/>
  <c r="D57" i="1"/>
  <c r="D44" i="1"/>
  <c r="G40" i="4"/>
  <c r="G34" i="1"/>
  <c r="G36" i="1" s="1"/>
  <c r="G42" i="1" s="1"/>
  <c r="G25" i="1"/>
  <c r="G27" i="1" s="1"/>
  <c r="G33" i="1" s="1"/>
  <c r="G29" i="4"/>
  <c r="G71" i="1"/>
  <c r="G73" i="1" s="1"/>
  <c r="G79" i="1" s="1"/>
  <c r="G85" i="4"/>
  <c r="D67" i="4"/>
  <c r="D70" i="4" s="1"/>
  <c r="E97" i="4"/>
  <c r="E101" i="4" s="1"/>
  <c r="E100" i="4" s="1"/>
  <c r="E80" i="1"/>
  <c r="E82" i="1" s="1"/>
  <c r="E88" i="1" s="1"/>
  <c r="D53" i="1"/>
  <c r="E62" i="1"/>
  <c r="E64" i="1" s="1"/>
  <c r="E70" i="1" s="1"/>
  <c r="E74" i="4"/>
  <c r="E76" i="4" s="1"/>
  <c r="E75" i="4" s="1"/>
  <c r="G18" i="4"/>
  <c r="G16" i="1"/>
  <c r="G18" i="1" s="1"/>
  <c r="G24" i="1" s="1"/>
  <c r="D47" i="1"/>
  <c r="D46" i="1" s="1"/>
  <c r="G74" i="4"/>
  <c r="G62" i="1"/>
  <c r="G64" i="1" s="1"/>
  <c r="G70" i="1" s="1"/>
  <c r="D66" i="1"/>
  <c r="D65" i="1" s="1"/>
  <c r="D67" i="1"/>
  <c r="D51" i="1"/>
  <c r="D39" i="1"/>
  <c r="D112" i="4"/>
  <c r="D118" i="4" s="1"/>
  <c r="D84" i="1"/>
  <c r="D83" i="1" s="1"/>
  <c r="H108" i="4"/>
  <c r="H89" i="1"/>
  <c r="H91" i="1" s="1"/>
  <c r="H97" i="1" s="1"/>
  <c r="G52" i="4"/>
  <c r="G43" i="1"/>
  <c r="G45" i="1" s="1"/>
  <c r="G51" i="1" s="1"/>
  <c r="D54" i="4"/>
  <c r="D62" i="4" s="1"/>
  <c r="G130" i="4"/>
  <c r="G107" i="1"/>
  <c r="G109" i="1" s="1"/>
  <c r="G115" i="1" s="1"/>
  <c r="D99" i="4"/>
  <c r="D104" i="4" s="1"/>
  <c r="D85" i="1"/>
  <c r="G7" i="4"/>
  <c r="G7" i="1"/>
  <c r="G9" i="1" s="1"/>
  <c r="G15" i="1" s="1"/>
  <c r="D123" i="4"/>
  <c r="D126" i="4" s="1"/>
  <c r="F108" i="4"/>
  <c r="F112" i="4" s="1"/>
  <c r="F111" i="4" s="1"/>
  <c r="F89" i="1"/>
  <c r="F91" i="1" s="1"/>
  <c r="F97" i="1" s="1"/>
  <c r="D81" i="1"/>
  <c r="G97" i="4"/>
  <c r="G80" i="1"/>
  <c r="G82" i="1" s="1"/>
  <c r="G88" i="1" s="1"/>
  <c r="G63" i="4"/>
  <c r="G52" i="1"/>
  <c r="G54" i="1" s="1"/>
  <c r="G60" i="1" s="1"/>
  <c r="D90" i="1"/>
  <c r="F16" i="1"/>
  <c r="F18" i="1" s="1"/>
  <c r="F18" i="4"/>
  <c r="F20" i="4" s="1"/>
  <c r="E89" i="1"/>
  <c r="E91" i="1" s="1"/>
  <c r="E94" i="1" s="1"/>
  <c r="E108" i="4"/>
  <c r="E110" i="4" s="1"/>
  <c r="E109" i="4" s="1"/>
  <c r="D134" i="4"/>
  <c r="E63" i="4"/>
  <c r="E65" i="4" s="1"/>
  <c r="E64" i="4" s="1"/>
  <c r="E52" i="1"/>
  <c r="E54" i="1" s="1"/>
  <c r="E60" i="1" s="1"/>
  <c r="D35" i="1"/>
  <c r="E11" i="1"/>
  <c r="E10" i="1" s="1"/>
  <c r="E8" i="1"/>
  <c r="E12" i="1"/>
  <c r="D20" i="7"/>
  <c r="D12" i="7"/>
  <c r="D16" i="7"/>
  <c r="D13" i="7"/>
  <c r="E95" i="4"/>
  <c r="E129" i="4"/>
  <c r="E62" i="4"/>
  <c r="E39" i="4"/>
  <c r="E140" i="4"/>
  <c r="D17" i="4"/>
  <c r="E50" i="4"/>
  <c r="E28" i="4"/>
  <c r="D25" i="4"/>
  <c r="D28" i="4"/>
  <c r="E38" i="7"/>
  <c r="D19" i="4"/>
  <c r="E9" i="4"/>
  <c r="D14" i="4"/>
  <c r="F6" i="27"/>
  <c r="G6" i="27" s="1"/>
  <c r="G93" i="1"/>
  <c r="G92" i="1" s="1"/>
  <c r="G94" i="1"/>
  <c r="G90" i="1"/>
  <c r="F12" i="1"/>
  <c r="F11" i="1"/>
  <c r="F10" i="1" s="1"/>
  <c r="F8" i="1"/>
  <c r="F29" i="7"/>
  <c r="F10" i="7" s="1"/>
  <c r="G5" i="27"/>
  <c r="G15" i="27"/>
  <c r="F39" i="7"/>
  <c r="F20" i="7" s="1"/>
  <c r="E21" i="4"/>
  <c r="E104" i="1"/>
  <c r="E105" i="1" s="1"/>
  <c r="F36" i="7"/>
  <c r="F17" i="7" s="1"/>
  <c r="G12" i="27"/>
  <c r="E92" i="4"/>
  <c r="E86" i="4"/>
  <c r="F38" i="7"/>
  <c r="F19" i="7" s="1"/>
  <c r="G14" i="27"/>
  <c r="F78" i="4"/>
  <c r="F76" i="4"/>
  <c r="F85" i="1"/>
  <c r="F84" i="1"/>
  <c r="F83" i="1" s="1"/>
  <c r="F81" i="1"/>
  <c r="F99" i="1"/>
  <c r="F102" i="1"/>
  <c r="F101" i="1" s="1"/>
  <c r="F103" i="1"/>
  <c r="E122" i="4"/>
  <c r="E55" i="4"/>
  <c r="F33" i="4"/>
  <c r="F31" i="4"/>
  <c r="F32" i="7"/>
  <c r="F13" i="7" s="1"/>
  <c r="G8" i="27"/>
  <c r="F56" i="1"/>
  <c r="F55" i="1" s="1"/>
  <c r="F53" i="1"/>
  <c r="F57" i="1"/>
  <c r="E36" i="4"/>
  <c r="E30" i="4"/>
  <c r="E88" i="4"/>
  <c r="F35" i="7"/>
  <c r="F16" i="7" s="1"/>
  <c r="G11" i="27"/>
  <c r="E43" i="4"/>
  <c r="E137" i="4"/>
  <c r="E131" i="4"/>
  <c r="G112" i="4"/>
  <c r="G110" i="4"/>
  <c r="F67" i="1"/>
  <c r="F66" i="1"/>
  <c r="F65" i="1" s="1"/>
  <c r="F63" i="1"/>
  <c r="F101" i="4"/>
  <c r="F99" i="4"/>
  <c r="G37" i="7"/>
  <c r="G18" i="7" s="1"/>
  <c r="H13" i="27"/>
  <c r="E120" i="4"/>
  <c r="E126" i="4"/>
  <c r="F26" i="1"/>
  <c r="F30" i="1"/>
  <c r="F29" i="1"/>
  <c r="F28" i="1" s="1"/>
  <c r="E25" i="4"/>
  <c r="E19" i="4"/>
  <c r="F28" i="7"/>
  <c r="F9" i="7" s="1"/>
  <c r="G4" i="27"/>
  <c r="F9" i="4"/>
  <c r="F11" i="4"/>
  <c r="F123" i="4"/>
  <c r="F121" i="4"/>
  <c r="F31" i="7"/>
  <c r="F12" i="7" s="1"/>
  <c r="G7" i="27"/>
  <c r="E47" i="4"/>
  <c r="E41" i="4"/>
  <c r="E133" i="4"/>
  <c r="E59" i="4"/>
  <c r="E53" i="4"/>
  <c r="F65" i="4"/>
  <c r="F67" i="4"/>
  <c r="E32" i="4"/>
  <c r="E10" i="4"/>
  <c r="F33" i="7"/>
  <c r="F14" i="7" s="1"/>
  <c r="G9" i="27"/>
  <c r="F34" i="7"/>
  <c r="F15" i="7" s="1"/>
  <c r="G10" i="27"/>
  <c r="E66" i="1" l="1"/>
  <c r="E65" i="1" s="1"/>
  <c r="E67" i="1"/>
  <c r="D30" i="4"/>
  <c r="D36" i="4"/>
  <c r="D76" i="1"/>
  <c r="D31" i="1"/>
  <c r="D32" i="1" s="1"/>
  <c r="D113" i="1"/>
  <c r="D114" i="1" s="1"/>
  <c r="D104" i="1"/>
  <c r="D105" i="1" s="1"/>
  <c r="D58" i="1"/>
  <c r="D59" i="1" s="1"/>
  <c r="D129" i="4"/>
  <c r="D98" i="4"/>
  <c r="D50" i="4"/>
  <c r="D43" i="4"/>
  <c r="E24" i="4"/>
  <c r="E23" i="4" s="1"/>
  <c r="E26" i="4" s="1"/>
  <c r="E27" i="4" s="1"/>
  <c r="E90" i="1"/>
  <c r="D95" i="1"/>
  <c r="D96" i="1" s="1"/>
  <c r="E99" i="4"/>
  <c r="E107" i="4" s="1"/>
  <c r="E103" i="4"/>
  <c r="E102" i="4" s="1"/>
  <c r="E46" i="4"/>
  <c r="E45" i="4" s="1"/>
  <c r="E48" i="4" s="1"/>
  <c r="E49" i="4" s="1"/>
  <c r="E35" i="4"/>
  <c r="E34" i="4" s="1"/>
  <c r="E37" i="4" s="1"/>
  <c r="E38" i="4" s="1"/>
  <c r="E93" i="1"/>
  <c r="E92" i="1" s="1"/>
  <c r="E136" i="4"/>
  <c r="E135" i="4" s="1"/>
  <c r="E138" i="4" s="1"/>
  <c r="E139" i="4" s="1"/>
  <c r="E91" i="4"/>
  <c r="E90" i="4" s="1"/>
  <c r="E93" i="4" s="1"/>
  <c r="E94" i="4" s="1"/>
  <c r="E125" i="4"/>
  <c r="E124" i="4" s="1"/>
  <c r="E127" i="4" s="1"/>
  <c r="E128" i="4" s="1"/>
  <c r="D13" i="4"/>
  <c r="D12" i="4" s="1"/>
  <c r="D15" i="4" s="1"/>
  <c r="D16" i="4" s="1"/>
  <c r="D136" i="4"/>
  <c r="D135" i="4" s="1"/>
  <c r="E78" i="4"/>
  <c r="E84" i="4" s="1"/>
  <c r="D68" i="1"/>
  <c r="D69" i="1" s="1"/>
  <c r="E57" i="1"/>
  <c r="D84" i="4"/>
  <c r="D75" i="4"/>
  <c r="D81" i="4"/>
  <c r="D95" i="4"/>
  <c r="F114" i="4"/>
  <c r="F113" i="4" s="1"/>
  <c r="D107" i="4"/>
  <c r="D115" i="4"/>
  <c r="E112" i="4"/>
  <c r="E118" i="4" s="1"/>
  <c r="D58" i="4"/>
  <c r="D57" i="4" s="1"/>
  <c r="D40" i="1"/>
  <c r="D41" i="1" s="1"/>
  <c r="D122" i="4"/>
  <c r="D46" i="4"/>
  <c r="D45" i="4" s="1"/>
  <c r="D125" i="4"/>
  <c r="D124" i="4" s="1"/>
  <c r="D75" i="1"/>
  <c r="D74" i="1" s="1"/>
  <c r="E97" i="1"/>
  <c r="D73" i="4"/>
  <c r="D111" i="4"/>
  <c r="D69" i="4"/>
  <c r="D68" i="4" s="1"/>
  <c r="F93" i="1"/>
  <c r="F92" i="1" s="1"/>
  <c r="D49" i="1"/>
  <c r="D50" i="1" s="1"/>
  <c r="E13" i="4"/>
  <c r="E12" i="4" s="1"/>
  <c r="E58" i="4"/>
  <c r="E57" i="4" s="1"/>
  <c r="E60" i="4" s="1"/>
  <c r="E61" i="4" s="1"/>
  <c r="D66" i="4"/>
  <c r="D86" i="1"/>
  <c r="D87" i="1" s="1"/>
  <c r="D35" i="4"/>
  <c r="D34" i="4" s="1"/>
  <c r="D80" i="4"/>
  <c r="D79" i="4" s="1"/>
  <c r="D103" i="4"/>
  <c r="D102" i="4" s="1"/>
  <c r="D72" i="1"/>
  <c r="D91" i="4"/>
  <c r="D90" i="4" s="1"/>
  <c r="E63" i="1"/>
  <c r="D86" i="4"/>
  <c r="H63" i="4"/>
  <c r="H52" i="1"/>
  <c r="H54" i="1" s="1"/>
  <c r="H60" i="1" s="1"/>
  <c r="E85" i="1"/>
  <c r="F85" i="4"/>
  <c r="F71" i="1"/>
  <c r="F73" i="1" s="1"/>
  <c r="F76" i="1" s="1"/>
  <c r="D53" i="4"/>
  <c r="E84" i="1"/>
  <c r="E83" i="1" s="1"/>
  <c r="H16" i="1"/>
  <c r="H18" i="1" s="1"/>
  <c r="H24" i="1" s="1"/>
  <c r="H18" i="4"/>
  <c r="F40" i="4"/>
  <c r="F44" i="4" s="1"/>
  <c r="F46" i="4" s="1"/>
  <c r="F45" i="4" s="1"/>
  <c r="F34" i="1"/>
  <c r="F36" i="1" s="1"/>
  <c r="F42" i="1" s="1"/>
  <c r="E56" i="1"/>
  <c r="E55" i="1" s="1"/>
  <c r="H71" i="1"/>
  <c r="H73" i="1" s="1"/>
  <c r="H79" i="1" s="1"/>
  <c r="H85" i="4"/>
  <c r="H40" i="4"/>
  <c r="H34" i="1"/>
  <c r="H36" i="1" s="1"/>
  <c r="H42" i="1" s="1"/>
  <c r="F130" i="4"/>
  <c r="F107" i="1"/>
  <c r="F109" i="1" s="1"/>
  <c r="F112" i="1" s="1"/>
  <c r="H97" i="4"/>
  <c r="H80" i="1"/>
  <c r="H82" i="1" s="1"/>
  <c r="H88" i="1" s="1"/>
  <c r="F52" i="4"/>
  <c r="F54" i="4" s="1"/>
  <c r="F53" i="4" s="1"/>
  <c r="F43" i="1"/>
  <c r="F45" i="1" s="1"/>
  <c r="F51" i="1" s="1"/>
  <c r="F110" i="4"/>
  <c r="F115" i="4" s="1"/>
  <c r="E67" i="4"/>
  <c r="E70" i="4" s="1"/>
  <c r="F90" i="1"/>
  <c r="F94" i="1"/>
  <c r="D114" i="4"/>
  <c r="D113" i="4" s="1"/>
  <c r="H74" i="4"/>
  <c r="H62" i="1"/>
  <c r="H64" i="1" s="1"/>
  <c r="H70" i="1" s="1"/>
  <c r="E81" i="1"/>
  <c r="I108" i="4"/>
  <c r="I89" i="1"/>
  <c r="I91" i="1" s="1"/>
  <c r="I97" i="1" s="1"/>
  <c r="H7" i="4"/>
  <c r="H7" i="1"/>
  <c r="H9" i="1" s="1"/>
  <c r="H15" i="1" s="1"/>
  <c r="E53" i="1"/>
  <c r="D59" i="4"/>
  <c r="H130" i="4"/>
  <c r="H107" i="1"/>
  <c r="H109" i="1" s="1"/>
  <c r="H115" i="1" s="1"/>
  <c r="D140" i="4"/>
  <c r="D137" i="4"/>
  <c r="D133" i="4"/>
  <c r="H119" i="4"/>
  <c r="H98" i="1"/>
  <c r="H100" i="1" s="1"/>
  <c r="H106" i="1" s="1"/>
  <c r="H52" i="4"/>
  <c r="H43" i="1"/>
  <c r="H45" i="1" s="1"/>
  <c r="H51" i="1" s="1"/>
  <c r="E13" i="1"/>
  <c r="E14" i="1" s="1"/>
  <c r="F22" i="4"/>
  <c r="F24" i="4" s="1"/>
  <c r="F23" i="4" s="1"/>
  <c r="E19" i="7"/>
  <c r="D26" i="4"/>
  <c r="D27" i="4" s="1"/>
  <c r="F129" i="4"/>
  <c r="F107" i="4"/>
  <c r="G118" i="4"/>
  <c r="F73" i="4"/>
  <c r="F17" i="4"/>
  <c r="F39" i="4"/>
  <c r="F84" i="4"/>
  <c r="E14" i="4"/>
  <c r="E17" i="4"/>
  <c r="F21" i="1"/>
  <c r="F24" i="1"/>
  <c r="F20" i="1"/>
  <c r="F19" i="1" s="1"/>
  <c r="F17" i="1"/>
  <c r="E8" i="4"/>
  <c r="F30" i="7"/>
  <c r="G95" i="1"/>
  <c r="G96" i="1" s="1"/>
  <c r="F31" i="1"/>
  <c r="F32" i="1" s="1"/>
  <c r="F68" i="1"/>
  <c r="F69" i="1" s="1"/>
  <c r="G132" i="4"/>
  <c r="G134" i="4"/>
  <c r="G33" i="7"/>
  <c r="G14" i="7" s="1"/>
  <c r="H9" i="27"/>
  <c r="G31" i="4"/>
  <c r="G33" i="4"/>
  <c r="G56" i="4"/>
  <c r="G54" i="4"/>
  <c r="F120" i="4"/>
  <c r="F126" i="4"/>
  <c r="G28" i="7"/>
  <c r="G9" i="7" s="1"/>
  <c r="H4" i="27"/>
  <c r="F103" i="4"/>
  <c r="F102" i="4" s="1"/>
  <c r="F100" i="4"/>
  <c r="G67" i="1"/>
  <c r="G63" i="1"/>
  <c r="G66" i="1"/>
  <c r="G65" i="1" s="1"/>
  <c r="H11" i="27"/>
  <c r="G35" i="7"/>
  <c r="G16" i="7" s="1"/>
  <c r="G30" i="7"/>
  <c r="G11" i="7" s="1"/>
  <c r="H6" i="27"/>
  <c r="F104" i="1"/>
  <c r="F105" i="1" s="1"/>
  <c r="F77" i="4"/>
  <c r="F80" i="4"/>
  <c r="F79" i="4" s="1"/>
  <c r="H14" i="27"/>
  <c r="G38" i="7"/>
  <c r="G19" i="7" s="1"/>
  <c r="G44" i="4"/>
  <c r="G42" i="4"/>
  <c r="F13" i="1"/>
  <c r="F14" i="1" s="1"/>
  <c r="G30" i="1"/>
  <c r="G29" i="1"/>
  <c r="G28" i="1" s="1"/>
  <c r="G26" i="1"/>
  <c r="G48" i="1"/>
  <c r="G47" i="1"/>
  <c r="G46" i="1" s="1"/>
  <c r="G44" i="1"/>
  <c r="G111" i="1"/>
  <c r="G110" i="1" s="1"/>
  <c r="G112" i="1"/>
  <c r="G108" i="1"/>
  <c r="F125" i="4"/>
  <c r="F124" i="4" s="1"/>
  <c r="F122" i="4"/>
  <c r="F10" i="4"/>
  <c r="F13" i="4"/>
  <c r="F12" i="4" s="1"/>
  <c r="G20" i="4"/>
  <c r="G22" i="4"/>
  <c r="G76" i="4"/>
  <c r="G78" i="4"/>
  <c r="F58" i="1"/>
  <c r="F59" i="1" s="1"/>
  <c r="F30" i="4"/>
  <c r="F36" i="4"/>
  <c r="G101" i="4"/>
  <c r="G99" i="4"/>
  <c r="H12" i="27"/>
  <c r="G36" i="7"/>
  <c r="G17" i="7" s="1"/>
  <c r="G57" i="1"/>
  <c r="G53" i="1"/>
  <c r="G56" i="1"/>
  <c r="G55" i="1" s="1"/>
  <c r="F69" i="4"/>
  <c r="F68" i="4" s="1"/>
  <c r="F66" i="4"/>
  <c r="G31" i="7"/>
  <c r="G12" i="7" s="1"/>
  <c r="H7" i="27"/>
  <c r="F8" i="4"/>
  <c r="F14" i="4"/>
  <c r="F19" i="4"/>
  <c r="G75" i="1"/>
  <c r="G74" i="1" s="1"/>
  <c r="G76" i="1"/>
  <c r="G72" i="1"/>
  <c r="G17" i="1"/>
  <c r="G20" i="1"/>
  <c r="G19" i="1" s="1"/>
  <c r="G21" i="1"/>
  <c r="G109" i="4"/>
  <c r="G115" i="4"/>
  <c r="H93" i="1"/>
  <c r="H92" i="1" s="1"/>
  <c r="H90" i="1"/>
  <c r="H94" i="1"/>
  <c r="G9" i="4"/>
  <c r="G11" i="4"/>
  <c r="F32" i="4"/>
  <c r="F35" i="4"/>
  <c r="F34" i="4" s="1"/>
  <c r="G81" i="1"/>
  <c r="G85" i="1"/>
  <c r="G84" i="1"/>
  <c r="G83" i="1" s="1"/>
  <c r="G67" i="4"/>
  <c r="G65" i="4"/>
  <c r="H15" i="27"/>
  <c r="G39" i="7"/>
  <c r="G20" i="7" s="1"/>
  <c r="H5" i="27"/>
  <c r="G29" i="7"/>
  <c r="G10" i="7" s="1"/>
  <c r="G34" i="7"/>
  <c r="G15" i="7" s="1"/>
  <c r="H10" i="27"/>
  <c r="F64" i="4"/>
  <c r="F70" i="4"/>
  <c r="G87" i="4"/>
  <c r="G89" i="4"/>
  <c r="H37" i="7"/>
  <c r="H18" i="7" s="1"/>
  <c r="I13" i="27"/>
  <c r="F104" i="4"/>
  <c r="F98" i="4"/>
  <c r="G114" i="4"/>
  <c r="G113" i="4" s="1"/>
  <c r="G111" i="4"/>
  <c r="H112" i="4"/>
  <c r="H110" i="4"/>
  <c r="G11" i="1"/>
  <c r="G10" i="1" s="1"/>
  <c r="G12" i="1"/>
  <c r="G8" i="1"/>
  <c r="H8" i="27"/>
  <c r="G32" i="7"/>
  <c r="G13" i="7" s="1"/>
  <c r="F86" i="1"/>
  <c r="F87" i="1" s="1"/>
  <c r="F75" i="4"/>
  <c r="F81" i="4"/>
  <c r="G38" i="1"/>
  <c r="G37" i="1" s="1"/>
  <c r="G39" i="1"/>
  <c r="G35" i="1"/>
  <c r="E68" i="1" l="1"/>
  <c r="E69" i="1" s="1"/>
  <c r="D37" i="4"/>
  <c r="D38" i="4" s="1"/>
  <c r="E104" i="4"/>
  <c r="E95" i="1"/>
  <c r="E96" i="1" s="1"/>
  <c r="F79" i="1"/>
  <c r="D48" i="4"/>
  <c r="D49" i="4" s="1"/>
  <c r="D105" i="4"/>
  <c r="D106" i="4" s="1"/>
  <c r="E86" i="1"/>
  <c r="E87" i="1" s="1"/>
  <c r="E111" i="4"/>
  <c r="E114" i="4"/>
  <c r="E113" i="4" s="1"/>
  <c r="E115" i="4"/>
  <c r="D77" i="1"/>
  <c r="D78" i="1" s="1"/>
  <c r="E58" i="1"/>
  <c r="E59" i="1" s="1"/>
  <c r="E77" i="4"/>
  <c r="E73" i="4"/>
  <c r="E66" i="4"/>
  <c r="E98" i="4"/>
  <c r="D82" i="4"/>
  <c r="D83" i="4" s="1"/>
  <c r="D116" i="4"/>
  <c r="D117" i="4" s="1"/>
  <c r="F111" i="1"/>
  <c r="F110" i="1" s="1"/>
  <c r="E81" i="4"/>
  <c r="F118" i="4"/>
  <c r="D93" i="4"/>
  <c r="D94" i="4" s="1"/>
  <c r="F28" i="4"/>
  <c r="E80" i="4"/>
  <c r="E79" i="4" s="1"/>
  <c r="D71" i="4"/>
  <c r="D72" i="4" s="1"/>
  <c r="D127" i="4"/>
  <c r="D128" i="4" s="1"/>
  <c r="E69" i="4"/>
  <c r="E68" i="4" s="1"/>
  <c r="E71" i="4" s="1"/>
  <c r="E72" i="4" s="1"/>
  <c r="F39" i="1"/>
  <c r="F108" i="1"/>
  <c r="F115" i="1"/>
  <c r="F72" i="1"/>
  <c r="F35" i="1"/>
  <c r="D138" i="4"/>
  <c r="D139" i="4" s="1"/>
  <c r="F109" i="4"/>
  <c r="F116" i="4" s="1"/>
  <c r="F117" i="4" s="1"/>
  <c r="F95" i="1"/>
  <c r="F96" i="1" s="1"/>
  <c r="D60" i="4"/>
  <c r="D61" i="4" s="1"/>
  <c r="F42" i="4"/>
  <c r="F50" i="4" s="1"/>
  <c r="G119" i="4"/>
  <c r="G121" i="4" s="1"/>
  <c r="G120" i="4" s="1"/>
  <c r="G98" i="1"/>
  <c r="G100" i="1" s="1"/>
  <c r="G99" i="1" s="1"/>
  <c r="F43" i="4"/>
  <c r="F47" i="1"/>
  <c r="F46" i="1" s="1"/>
  <c r="I74" i="4"/>
  <c r="I62" i="1"/>
  <c r="I64" i="1" s="1"/>
  <c r="I70" i="1" s="1"/>
  <c r="I29" i="4"/>
  <c r="I25" i="1"/>
  <c r="I27" i="1" s="1"/>
  <c r="I33" i="1" s="1"/>
  <c r="I7" i="4"/>
  <c r="I7" i="1"/>
  <c r="I9" i="1" s="1"/>
  <c r="I15" i="1" s="1"/>
  <c r="I130" i="4"/>
  <c r="I107" i="1"/>
  <c r="I109" i="1" s="1"/>
  <c r="I115" i="1" s="1"/>
  <c r="I52" i="4"/>
  <c r="I43" i="1"/>
  <c r="I45" i="1" s="1"/>
  <c r="I51" i="1" s="1"/>
  <c r="J108" i="4"/>
  <c r="J89" i="1"/>
  <c r="J91" i="1" s="1"/>
  <c r="J97" i="1" s="1"/>
  <c r="I85" i="4"/>
  <c r="I71" i="1"/>
  <c r="I73" i="1" s="1"/>
  <c r="I79" i="1" s="1"/>
  <c r="F25" i="4"/>
  <c r="I97" i="4"/>
  <c r="I80" i="1"/>
  <c r="I82" i="1" s="1"/>
  <c r="I88" i="1" s="1"/>
  <c r="F75" i="1"/>
  <c r="F74" i="1" s="1"/>
  <c r="F56" i="4"/>
  <c r="F62" i="4" s="1"/>
  <c r="F44" i="1"/>
  <c r="I18" i="4"/>
  <c r="I16" i="1"/>
  <c r="I18" i="1" s="1"/>
  <c r="I24" i="1" s="1"/>
  <c r="F134" i="4"/>
  <c r="F132" i="4"/>
  <c r="F89" i="4"/>
  <c r="F87" i="4"/>
  <c r="F48" i="1"/>
  <c r="I119" i="4"/>
  <c r="I98" i="1"/>
  <c r="I100" i="1" s="1"/>
  <c r="I106" i="1" s="1"/>
  <c r="I34" i="1"/>
  <c r="I36" i="1" s="1"/>
  <c r="I42" i="1" s="1"/>
  <c r="I40" i="4"/>
  <c r="I63" i="4"/>
  <c r="I52" i="1"/>
  <c r="I54" i="1" s="1"/>
  <c r="I60" i="1" s="1"/>
  <c r="F38" i="1"/>
  <c r="F37" i="1" s="1"/>
  <c r="F21" i="4"/>
  <c r="F11" i="7"/>
  <c r="G73" i="4"/>
  <c r="G107" i="4"/>
  <c r="G50" i="4"/>
  <c r="E15" i="4"/>
  <c r="E16" i="4" s="1"/>
  <c r="H118" i="4"/>
  <c r="G84" i="4"/>
  <c r="G62" i="4"/>
  <c r="G95" i="4"/>
  <c r="G140" i="4"/>
  <c r="G17" i="4"/>
  <c r="G28" i="4"/>
  <c r="G39" i="4"/>
  <c r="F22" i="1"/>
  <c r="F23" i="1" s="1"/>
  <c r="G31" i="1"/>
  <c r="G32" i="1" s="1"/>
  <c r="F82" i="4"/>
  <c r="F83" i="4" s="1"/>
  <c r="G86" i="1"/>
  <c r="G87" i="1" s="1"/>
  <c r="H95" i="1"/>
  <c r="H96" i="1" s="1"/>
  <c r="G22" i="1"/>
  <c r="G23" i="1" s="1"/>
  <c r="G113" i="1"/>
  <c r="G114" i="1" s="1"/>
  <c r="G49" i="1"/>
  <c r="G50" i="1" s="1"/>
  <c r="G40" i="1"/>
  <c r="G41" i="1" s="1"/>
  <c r="F105" i="4"/>
  <c r="F106" i="4" s="1"/>
  <c r="F71" i="4"/>
  <c r="F72" i="4" s="1"/>
  <c r="F15" i="4"/>
  <c r="F16" i="4" s="1"/>
  <c r="G68" i="1"/>
  <c r="G69" i="1" s="1"/>
  <c r="H114" i="4"/>
  <c r="H113" i="4" s="1"/>
  <c r="H111" i="4"/>
  <c r="H42" i="4"/>
  <c r="H44" i="4"/>
  <c r="I10" i="27"/>
  <c r="H34" i="7"/>
  <c r="H15" i="7" s="1"/>
  <c r="H99" i="4"/>
  <c r="H101" i="4"/>
  <c r="H36" i="7"/>
  <c r="H17" i="7" s="1"/>
  <c r="I12" i="27"/>
  <c r="H123" i="4"/>
  <c r="H121" i="4"/>
  <c r="G80" i="4"/>
  <c r="G79" i="4" s="1"/>
  <c r="G77" i="4"/>
  <c r="G25" i="4"/>
  <c r="G19" i="4"/>
  <c r="I110" i="4"/>
  <c r="I112" i="4"/>
  <c r="G55" i="4"/>
  <c r="G58" i="4"/>
  <c r="G57" i="4" s="1"/>
  <c r="G137" i="4"/>
  <c r="G131" i="4"/>
  <c r="H32" i="7"/>
  <c r="H13" i="7" s="1"/>
  <c r="I8" i="27"/>
  <c r="G91" i="4"/>
  <c r="G90" i="4" s="1"/>
  <c r="G88" i="4"/>
  <c r="I15" i="27"/>
  <c r="H39" i="7"/>
  <c r="H20" i="7" s="1"/>
  <c r="H81" i="1"/>
  <c r="H84" i="1"/>
  <c r="H83" i="1" s="1"/>
  <c r="H85" i="1"/>
  <c r="H31" i="7"/>
  <c r="H12" i="7" s="1"/>
  <c r="I7" i="27"/>
  <c r="H108" i="1"/>
  <c r="H111" i="1"/>
  <c r="H110" i="1" s="1"/>
  <c r="H112" i="1"/>
  <c r="G58" i="1"/>
  <c r="G59" i="1" s="1"/>
  <c r="H103" i="1"/>
  <c r="H102" i="1"/>
  <c r="H101" i="1" s="1"/>
  <c r="H99" i="1"/>
  <c r="F37" i="4"/>
  <c r="F38" i="4" s="1"/>
  <c r="G75" i="4"/>
  <c r="G81" i="4"/>
  <c r="G41" i="4"/>
  <c r="G47" i="4"/>
  <c r="I14" i="27"/>
  <c r="H38" i="7"/>
  <c r="H19" i="7" s="1"/>
  <c r="H44" i="1"/>
  <c r="H48" i="1"/>
  <c r="H47" i="1"/>
  <c r="H46" i="1" s="1"/>
  <c r="I90" i="1"/>
  <c r="I94" i="1"/>
  <c r="I93" i="1"/>
  <c r="I92" i="1" s="1"/>
  <c r="F127" i="4"/>
  <c r="F128" i="4" s="1"/>
  <c r="G32" i="4"/>
  <c r="G35" i="4"/>
  <c r="G34" i="4" s="1"/>
  <c r="H66" i="1"/>
  <c r="H65" i="1" s="1"/>
  <c r="H63" i="1"/>
  <c r="H67" i="1"/>
  <c r="H21" i="1"/>
  <c r="H20" i="1"/>
  <c r="H19" i="1" s="1"/>
  <c r="H17" i="1"/>
  <c r="G86" i="4"/>
  <c r="G92" i="4"/>
  <c r="G64" i="4"/>
  <c r="G70" i="4"/>
  <c r="G13" i="4"/>
  <c r="G12" i="4" s="1"/>
  <c r="G10" i="4"/>
  <c r="G116" i="4"/>
  <c r="G117" i="4" s="1"/>
  <c r="H132" i="4"/>
  <c r="H134" i="4"/>
  <c r="G98" i="4"/>
  <c r="G104" i="4"/>
  <c r="H76" i="1"/>
  <c r="H72" i="1"/>
  <c r="H75" i="1"/>
  <c r="H74" i="1" s="1"/>
  <c r="H12" i="1"/>
  <c r="H8" i="1"/>
  <c r="H11" i="1"/>
  <c r="H10" i="1" s="1"/>
  <c r="H65" i="4"/>
  <c r="H67" i="4"/>
  <c r="G43" i="4"/>
  <c r="G46" i="4"/>
  <c r="G45" i="4" s="1"/>
  <c r="H54" i="4"/>
  <c r="H56" i="4"/>
  <c r="H35" i="7"/>
  <c r="H16" i="7" s="1"/>
  <c r="I11" i="27"/>
  <c r="H28" i="7"/>
  <c r="H9" i="7" s="1"/>
  <c r="I4" i="27"/>
  <c r="G36" i="4"/>
  <c r="G30" i="4"/>
  <c r="H76" i="4"/>
  <c r="H78" i="4"/>
  <c r="H22" i="4"/>
  <c r="H20" i="4"/>
  <c r="G13" i="1"/>
  <c r="G14" i="1" s="1"/>
  <c r="H109" i="4"/>
  <c r="H115" i="4"/>
  <c r="I37" i="7"/>
  <c r="I18" i="7" s="1"/>
  <c r="J13" i="27"/>
  <c r="H39" i="1"/>
  <c r="H35" i="1"/>
  <c r="H38" i="1"/>
  <c r="H37" i="1" s="1"/>
  <c r="I5" i="27"/>
  <c r="H29" i="7"/>
  <c r="H10" i="7" s="1"/>
  <c r="G66" i="4"/>
  <c r="G69" i="4"/>
  <c r="G68" i="4" s="1"/>
  <c r="G14" i="4"/>
  <c r="G8" i="4"/>
  <c r="G77" i="1"/>
  <c r="G78" i="1" s="1"/>
  <c r="G103" i="4"/>
  <c r="G102" i="4" s="1"/>
  <c r="G100" i="4"/>
  <c r="H87" i="4"/>
  <c r="H89" i="4"/>
  <c r="G24" i="4"/>
  <c r="G23" i="4" s="1"/>
  <c r="G21" i="4"/>
  <c r="H9" i="4"/>
  <c r="H11" i="4"/>
  <c r="H56" i="1"/>
  <c r="H55" i="1" s="1"/>
  <c r="H57" i="1"/>
  <c r="H53" i="1"/>
  <c r="I6" i="27"/>
  <c r="H30" i="7"/>
  <c r="H11" i="7" s="1"/>
  <c r="G59" i="4"/>
  <c r="G53" i="4"/>
  <c r="I9" i="27"/>
  <c r="H33" i="7"/>
  <c r="H14" i="7" s="1"/>
  <c r="G133" i="4"/>
  <c r="G136" i="4"/>
  <c r="G135" i="4" s="1"/>
  <c r="E105" i="4" l="1"/>
  <c r="E106" i="4" s="1"/>
  <c r="F113" i="1"/>
  <c r="F114" i="1" s="1"/>
  <c r="E116" i="4"/>
  <c r="E117" i="4" s="1"/>
  <c r="F40" i="1"/>
  <c r="F41" i="1" s="1"/>
  <c r="E82" i="4"/>
  <c r="E83" i="4" s="1"/>
  <c r="F77" i="1"/>
  <c r="F78" i="1" s="1"/>
  <c r="F59" i="4"/>
  <c r="F41" i="4"/>
  <c r="F47" i="4"/>
  <c r="F26" i="4"/>
  <c r="F27" i="4" s="1"/>
  <c r="F55" i="4"/>
  <c r="G103" i="1"/>
  <c r="F58" i="4"/>
  <c r="F57" i="4" s="1"/>
  <c r="G123" i="4"/>
  <c r="G129" i="4" s="1"/>
  <c r="F49" i="1"/>
  <c r="F50" i="1" s="1"/>
  <c r="J119" i="4"/>
  <c r="J98" i="1"/>
  <c r="J100" i="1" s="1"/>
  <c r="J106" i="1" s="1"/>
  <c r="F140" i="4"/>
  <c r="F131" i="4"/>
  <c r="F137" i="4"/>
  <c r="J97" i="4"/>
  <c r="J80" i="1"/>
  <c r="J82" i="1" s="1"/>
  <c r="J88" i="1" s="1"/>
  <c r="J18" i="4"/>
  <c r="J16" i="1"/>
  <c r="J18" i="1" s="1"/>
  <c r="J24" i="1" s="1"/>
  <c r="J74" i="4"/>
  <c r="J62" i="1"/>
  <c r="J64" i="1" s="1"/>
  <c r="J70" i="1" s="1"/>
  <c r="J52" i="4"/>
  <c r="J43" i="1"/>
  <c r="J45" i="1" s="1"/>
  <c r="J51" i="1" s="1"/>
  <c r="H29" i="4"/>
  <c r="H33" i="4" s="1"/>
  <c r="H35" i="4" s="1"/>
  <c r="H34" i="4" s="1"/>
  <c r="H25" i="1"/>
  <c r="H27" i="1" s="1"/>
  <c r="H30" i="1" s="1"/>
  <c r="J25" i="1"/>
  <c r="J27" i="1" s="1"/>
  <c r="J33" i="1" s="1"/>
  <c r="J29" i="4"/>
  <c r="J7" i="4"/>
  <c r="J7" i="1"/>
  <c r="J9" i="1" s="1"/>
  <c r="J15" i="1" s="1"/>
  <c r="K89" i="1"/>
  <c r="K91" i="1" s="1"/>
  <c r="K97" i="1" s="1"/>
  <c r="K108" i="4"/>
  <c r="J40" i="4"/>
  <c r="J34" i="1"/>
  <c r="J36" i="1" s="1"/>
  <c r="J42" i="1" s="1"/>
  <c r="G106" i="1"/>
  <c r="F95" i="4"/>
  <c r="F92" i="4"/>
  <c r="F86" i="4"/>
  <c r="G102" i="1"/>
  <c r="G101" i="1" s="1"/>
  <c r="F88" i="4"/>
  <c r="F91" i="4"/>
  <c r="F90" i="4" s="1"/>
  <c r="F136" i="4"/>
  <c r="F135" i="4" s="1"/>
  <c r="F133" i="4"/>
  <c r="J85" i="4"/>
  <c r="J71" i="1"/>
  <c r="J73" i="1" s="1"/>
  <c r="J79" i="1" s="1"/>
  <c r="J130" i="4"/>
  <c r="J107" i="1"/>
  <c r="J109" i="1" s="1"/>
  <c r="J115" i="1" s="1"/>
  <c r="J63" i="4"/>
  <c r="J52" i="1"/>
  <c r="J54" i="1" s="1"/>
  <c r="J60" i="1" s="1"/>
  <c r="H107" i="4"/>
  <c r="H28" i="4"/>
  <c r="H129" i="4"/>
  <c r="H17" i="4"/>
  <c r="H84" i="4"/>
  <c r="H62" i="4"/>
  <c r="H73" i="4"/>
  <c r="I118" i="4"/>
  <c r="H50" i="4"/>
  <c r="H95" i="4"/>
  <c r="H140" i="4"/>
  <c r="H40" i="1"/>
  <c r="H41" i="1" s="1"/>
  <c r="H49" i="1"/>
  <c r="H50" i="1" s="1"/>
  <c r="H86" i="4"/>
  <c r="H92" i="4"/>
  <c r="I99" i="4"/>
  <c r="I101" i="4"/>
  <c r="H53" i="4"/>
  <c r="H59" i="4"/>
  <c r="I30" i="1"/>
  <c r="I29" i="1"/>
  <c r="I28" i="1" s="1"/>
  <c r="I26" i="1"/>
  <c r="H126" i="4"/>
  <c r="H120" i="4"/>
  <c r="I111" i="1"/>
  <c r="I110" i="1" s="1"/>
  <c r="I108" i="1"/>
  <c r="I112" i="1"/>
  <c r="H47" i="4"/>
  <c r="H41" i="4"/>
  <c r="J5" i="27"/>
  <c r="I29" i="7"/>
  <c r="I10" i="7" s="1"/>
  <c r="H24" i="4"/>
  <c r="H23" i="4" s="1"/>
  <c r="H21" i="4"/>
  <c r="I35" i="7"/>
  <c r="I16" i="7" s="1"/>
  <c r="J11" i="27"/>
  <c r="H131" i="4"/>
  <c r="H137" i="4"/>
  <c r="H68" i="1"/>
  <c r="H69" i="1" s="1"/>
  <c r="G48" i="4"/>
  <c r="G49" i="4" s="1"/>
  <c r="I67" i="1"/>
  <c r="I63" i="1"/>
  <c r="I66" i="1"/>
  <c r="I65" i="1" s="1"/>
  <c r="I33" i="4"/>
  <c r="I31" i="4"/>
  <c r="H103" i="4"/>
  <c r="H102" i="4" s="1"/>
  <c r="H100" i="4"/>
  <c r="I47" i="1"/>
  <c r="I46" i="1" s="1"/>
  <c r="I48" i="1"/>
  <c r="I44" i="1"/>
  <c r="I30" i="7"/>
  <c r="I11" i="7" s="1"/>
  <c r="J6" i="27"/>
  <c r="I33" i="7"/>
  <c r="I14" i="7" s="1"/>
  <c r="J9" i="27"/>
  <c r="I12" i="1"/>
  <c r="I8" i="1"/>
  <c r="I11" i="1"/>
  <c r="I10" i="1" s="1"/>
  <c r="H58" i="1"/>
  <c r="H59" i="1" s="1"/>
  <c r="H10" i="4"/>
  <c r="H13" i="4"/>
  <c r="H12" i="4" s="1"/>
  <c r="H91" i="4"/>
  <c r="H90" i="4" s="1"/>
  <c r="H88" i="4"/>
  <c r="G15" i="4"/>
  <c r="G16" i="4" s="1"/>
  <c r="H75" i="4"/>
  <c r="H81" i="4"/>
  <c r="I28" i="7"/>
  <c r="I9" i="7" s="1"/>
  <c r="J4" i="27"/>
  <c r="H55" i="4"/>
  <c r="H58" i="4"/>
  <c r="H57" i="4" s="1"/>
  <c r="H69" i="4"/>
  <c r="H68" i="4" s="1"/>
  <c r="H66" i="4"/>
  <c r="H13" i="1"/>
  <c r="H14" i="1" s="1"/>
  <c r="H77" i="1"/>
  <c r="H78" i="1" s="1"/>
  <c r="G105" i="4"/>
  <c r="G106" i="4" s="1"/>
  <c r="I42" i="4"/>
  <c r="I44" i="4"/>
  <c r="I20" i="4"/>
  <c r="I22" i="4"/>
  <c r="H22" i="1"/>
  <c r="H23" i="1" s="1"/>
  <c r="I75" i="1"/>
  <c r="I74" i="1" s="1"/>
  <c r="I72" i="1"/>
  <c r="I76" i="1"/>
  <c r="H104" i="1"/>
  <c r="H105" i="1" s="1"/>
  <c r="G138" i="4"/>
  <c r="G139" i="4" s="1"/>
  <c r="I56" i="1"/>
  <c r="I55" i="1" s="1"/>
  <c r="I53" i="1"/>
  <c r="I57" i="1"/>
  <c r="I115" i="4"/>
  <c r="I109" i="4"/>
  <c r="I102" i="1"/>
  <c r="I101" i="1" s="1"/>
  <c r="I103" i="1"/>
  <c r="I99" i="1"/>
  <c r="G26" i="4"/>
  <c r="G27" i="4" s="1"/>
  <c r="I132" i="4"/>
  <c r="I134" i="4"/>
  <c r="H46" i="4"/>
  <c r="H45" i="4" s="1"/>
  <c r="H43" i="4"/>
  <c r="I9" i="4"/>
  <c r="I11" i="4"/>
  <c r="H8" i="4"/>
  <c r="H14" i="4"/>
  <c r="H25" i="4"/>
  <c r="H19" i="4"/>
  <c r="H64" i="4"/>
  <c r="H70" i="4"/>
  <c r="H136" i="4"/>
  <c r="H135" i="4" s="1"/>
  <c r="H133" i="4"/>
  <c r="I87" i="4"/>
  <c r="I89" i="4"/>
  <c r="J7" i="27"/>
  <c r="I31" i="7"/>
  <c r="I12" i="7" s="1"/>
  <c r="I39" i="7"/>
  <c r="I20" i="7" s="1"/>
  <c r="J15" i="27"/>
  <c r="G60" i="4"/>
  <c r="G61" i="4" s="1"/>
  <c r="I81" i="1"/>
  <c r="I84" i="1"/>
  <c r="I83" i="1" s="1"/>
  <c r="I85" i="1"/>
  <c r="G37" i="4"/>
  <c r="G38" i="4" s="1"/>
  <c r="G71" i="4"/>
  <c r="G72" i="4" s="1"/>
  <c r="I32" i="7"/>
  <c r="I13" i="7" s="1"/>
  <c r="J8" i="27"/>
  <c r="H122" i="4"/>
  <c r="H125" i="4"/>
  <c r="H124" i="4" s="1"/>
  <c r="J112" i="4"/>
  <c r="J110" i="4"/>
  <c r="K13" i="27"/>
  <c r="K37" i="7" s="1"/>
  <c r="K18" i="7" s="1"/>
  <c r="J37" i="7"/>
  <c r="J18" i="7" s="1"/>
  <c r="H116" i="4"/>
  <c r="H117" i="4" s="1"/>
  <c r="H77" i="4"/>
  <c r="H80" i="4"/>
  <c r="H79" i="4" s="1"/>
  <c r="I39" i="1"/>
  <c r="I35" i="1"/>
  <c r="I38" i="1"/>
  <c r="I37" i="1" s="1"/>
  <c r="I17" i="1"/>
  <c r="I21" i="1"/>
  <c r="I20" i="1"/>
  <c r="I19" i="1" s="1"/>
  <c r="G93" i="4"/>
  <c r="G94" i="4" s="1"/>
  <c r="I95" i="1"/>
  <c r="I96" i="1" s="1"/>
  <c r="I38" i="7"/>
  <c r="I19" i="7" s="1"/>
  <c r="J14" i="27"/>
  <c r="G82" i="4"/>
  <c r="G83" i="4" s="1"/>
  <c r="H113" i="1"/>
  <c r="H114" i="1" s="1"/>
  <c r="H86" i="1"/>
  <c r="H87" i="1" s="1"/>
  <c r="I76" i="4"/>
  <c r="I78" i="4"/>
  <c r="I67" i="4"/>
  <c r="I65" i="4"/>
  <c r="I114" i="4"/>
  <c r="I113" i="4" s="1"/>
  <c r="I111" i="4"/>
  <c r="I123" i="4"/>
  <c r="I121" i="4"/>
  <c r="J12" i="27"/>
  <c r="I36" i="7"/>
  <c r="I17" i="7" s="1"/>
  <c r="H98" i="4"/>
  <c r="H104" i="4"/>
  <c r="J10" i="27"/>
  <c r="I34" i="7"/>
  <c r="I15" i="7" s="1"/>
  <c r="J90" i="1"/>
  <c r="J93" i="1"/>
  <c r="J92" i="1" s="1"/>
  <c r="J94" i="1"/>
  <c r="I54" i="4"/>
  <c r="I56" i="4"/>
  <c r="H33" i="1" l="1"/>
  <c r="G104" i="1"/>
  <c r="G105" i="1" s="1"/>
  <c r="G122" i="4"/>
  <c r="F60" i="4"/>
  <c r="F61" i="4" s="1"/>
  <c r="H31" i="4"/>
  <c r="H39" i="4" s="1"/>
  <c r="F48" i="4"/>
  <c r="F49" i="4" s="1"/>
  <c r="H32" i="4"/>
  <c r="G125" i="4"/>
  <c r="G124" i="4" s="1"/>
  <c r="G126" i="4"/>
  <c r="H26" i="1"/>
  <c r="K52" i="4"/>
  <c r="K43" i="1"/>
  <c r="K45" i="1" s="1"/>
  <c r="K51" i="1" s="1"/>
  <c r="K85" i="4"/>
  <c r="K71" i="1"/>
  <c r="K73" i="1" s="1"/>
  <c r="K79" i="1" s="1"/>
  <c r="K63" i="4"/>
  <c r="K52" i="1"/>
  <c r="K54" i="1" s="1"/>
  <c r="K60" i="1" s="1"/>
  <c r="K97" i="4"/>
  <c r="K80" i="1"/>
  <c r="K82" i="1" s="1"/>
  <c r="K88" i="1" s="1"/>
  <c r="K119" i="4"/>
  <c r="K98" i="1"/>
  <c r="K100" i="1" s="1"/>
  <c r="K106" i="1" s="1"/>
  <c r="H29" i="1"/>
  <c r="H28" i="1" s="1"/>
  <c r="K74" i="4"/>
  <c r="K62" i="1"/>
  <c r="K64" i="1" s="1"/>
  <c r="K70" i="1" s="1"/>
  <c r="L108" i="4"/>
  <c r="L89" i="1"/>
  <c r="L91" i="1" s="1"/>
  <c r="L97" i="1" s="1"/>
  <c r="K29" i="4"/>
  <c r="K25" i="1"/>
  <c r="K27" i="1" s="1"/>
  <c r="K33" i="1" s="1"/>
  <c r="K18" i="4"/>
  <c r="K16" i="1"/>
  <c r="K18" i="1" s="1"/>
  <c r="K24" i="1" s="1"/>
  <c r="M108" i="4"/>
  <c r="M89" i="1"/>
  <c r="M91" i="1" s="1"/>
  <c r="M97" i="1" s="1"/>
  <c r="F93" i="4"/>
  <c r="F94" i="4" s="1"/>
  <c r="K130" i="4"/>
  <c r="K107" i="1"/>
  <c r="K109" i="1" s="1"/>
  <c r="K115" i="1" s="1"/>
  <c r="F138" i="4"/>
  <c r="F139" i="4" s="1"/>
  <c r="K34" i="1"/>
  <c r="K36" i="1" s="1"/>
  <c r="K42" i="1" s="1"/>
  <c r="K40" i="4"/>
  <c r="K7" i="4"/>
  <c r="K7" i="1"/>
  <c r="K9" i="1" s="1"/>
  <c r="K15" i="1" s="1"/>
  <c r="J118" i="4"/>
  <c r="I39" i="4"/>
  <c r="I84" i="4"/>
  <c r="I140" i="4"/>
  <c r="I95" i="4"/>
  <c r="I17" i="4"/>
  <c r="I62" i="4"/>
  <c r="I28" i="4"/>
  <c r="I107" i="4"/>
  <c r="I129" i="4"/>
  <c r="I73" i="4"/>
  <c r="I50" i="4"/>
  <c r="I86" i="1"/>
  <c r="I87" i="1" s="1"/>
  <c r="H71" i="4"/>
  <c r="H72" i="4" s="1"/>
  <c r="H15" i="4"/>
  <c r="H16" i="4" s="1"/>
  <c r="I77" i="1"/>
  <c r="I78" i="1" s="1"/>
  <c r="I31" i="1"/>
  <c r="I32" i="1" s="1"/>
  <c r="I125" i="4"/>
  <c r="I124" i="4" s="1"/>
  <c r="I122" i="4"/>
  <c r="I75" i="4"/>
  <c r="I81" i="4"/>
  <c r="J38" i="7"/>
  <c r="J19" i="7" s="1"/>
  <c r="K14" i="27"/>
  <c r="K38" i="7" s="1"/>
  <c r="K19" i="7" s="1"/>
  <c r="J76" i="1"/>
  <c r="J75" i="1"/>
  <c r="J74" i="1" s="1"/>
  <c r="J72" i="1"/>
  <c r="J111" i="4"/>
  <c r="J114" i="4"/>
  <c r="J113" i="4" s="1"/>
  <c r="I59" i="4"/>
  <c r="I53" i="4"/>
  <c r="J95" i="1"/>
  <c r="J96" i="1" s="1"/>
  <c r="J44" i="1"/>
  <c r="J47" i="1"/>
  <c r="J46" i="1" s="1"/>
  <c r="J48" i="1"/>
  <c r="J78" i="4"/>
  <c r="J76" i="4"/>
  <c r="J33" i="4"/>
  <c r="J31" i="4"/>
  <c r="J12" i="1"/>
  <c r="J11" i="1"/>
  <c r="J10" i="1" s="1"/>
  <c r="J8" i="1"/>
  <c r="I13" i="4"/>
  <c r="I12" i="4" s="1"/>
  <c r="I10" i="4"/>
  <c r="I136" i="4"/>
  <c r="I135" i="4" s="1"/>
  <c r="I133" i="4"/>
  <c r="I47" i="4"/>
  <c r="I41" i="4"/>
  <c r="K4" i="27"/>
  <c r="K28" i="7" s="1"/>
  <c r="K9" i="7" s="1"/>
  <c r="J28" i="7"/>
  <c r="J9" i="7" s="1"/>
  <c r="H82" i="4"/>
  <c r="H83" i="4" s="1"/>
  <c r="I49" i="1"/>
  <c r="I50" i="1" s="1"/>
  <c r="J35" i="1"/>
  <c r="J38" i="1"/>
  <c r="J37" i="1" s="1"/>
  <c r="J39" i="1"/>
  <c r="J99" i="1"/>
  <c r="J103" i="1"/>
  <c r="J102" i="1"/>
  <c r="J101" i="1" s="1"/>
  <c r="H138" i="4"/>
  <c r="H139" i="4" s="1"/>
  <c r="H60" i="4"/>
  <c r="H61" i="4" s="1"/>
  <c r="I104" i="4"/>
  <c r="I98" i="4"/>
  <c r="H105" i="4"/>
  <c r="H106" i="4" s="1"/>
  <c r="I126" i="4"/>
  <c r="I120" i="4"/>
  <c r="I70" i="4"/>
  <c r="I64" i="4"/>
  <c r="I77" i="4"/>
  <c r="I80" i="4"/>
  <c r="I79" i="4" s="1"/>
  <c r="I22" i="1"/>
  <c r="I23" i="1" s="1"/>
  <c r="J109" i="4"/>
  <c r="J115" i="4"/>
  <c r="J31" i="7"/>
  <c r="J12" i="7" s="1"/>
  <c r="K7" i="27"/>
  <c r="K31" i="7" s="1"/>
  <c r="K12" i="7" s="1"/>
  <c r="I91" i="4"/>
  <c r="I90" i="4" s="1"/>
  <c r="I88" i="4"/>
  <c r="J9" i="4"/>
  <c r="J11" i="4"/>
  <c r="I14" i="4"/>
  <c r="I8" i="4"/>
  <c r="I137" i="4"/>
  <c r="I131" i="4"/>
  <c r="I104" i="1"/>
  <c r="I105" i="1" s="1"/>
  <c r="I116" i="4"/>
  <c r="I117" i="4" s="1"/>
  <c r="I58" i="1"/>
  <c r="I59" i="1" s="1"/>
  <c r="J111" i="1"/>
  <c r="J110" i="1" s="1"/>
  <c r="J108" i="1"/>
  <c r="J112" i="1"/>
  <c r="I21" i="4"/>
  <c r="I24" i="4"/>
  <c r="I23" i="4" s="1"/>
  <c r="K94" i="1"/>
  <c r="K90" i="1"/>
  <c r="K93" i="1"/>
  <c r="K92" i="1" s="1"/>
  <c r="J33" i="7"/>
  <c r="J14" i="7" s="1"/>
  <c r="K9" i="27"/>
  <c r="K33" i="7" s="1"/>
  <c r="K14" i="7" s="1"/>
  <c r="J67" i="4"/>
  <c r="J65" i="4"/>
  <c r="I36" i="4"/>
  <c r="I30" i="4"/>
  <c r="I68" i="1"/>
  <c r="I69" i="1" s="1"/>
  <c r="J123" i="4"/>
  <c r="J121" i="4"/>
  <c r="H48" i="4"/>
  <c r="H49" i="4" s="1"/>
  <c r="I113" i="1"/>
  <c r="I114" i="1" s="1"/>
  <c r="J17" i="1"/>
  <c r="J20" i="1"/>
  <c r="J19" i="1" s="1"/>
  <c r="J21" i="1"/>
  <c r="K10" i="27"/>
  <c r="K34" i="7" s="1"/>
  <c r="K15" i="7" s="1"/>
  <c r="J34" i="7"/>
  <c r="J15" i="7" s="1"/>
  <c r="I66" i="4"/>
  <c r="I69" i="4"/>
  <c r="I68" i="4" s="1"/>
  <c r="J39" i="7"/>
  <c r="J20" i="7" s="1"/>
  <c r="K15" i="27"/>
  <c r="K39" i="7" s="1"/>
  <c r="K20" i="7" s="1"/>
  <c r="I92" i="4"/>
  <c r="I86" i="4"/>
  <c r="J85" i="1"/>
  <c r="J81" i="1"/>
  <c r="J84" i="1"/>
  <c r="J83" i="1" s="1"/>
  <c r="J132" i="4"/>
  <c r="J134" i="4"/>
  <c r="I25" i="4"/>
  <c r="I19" i="4"/>
  <c r="K112" i="4"/>
  <c r="K110" i="4"/>
  <c r="J53" i="1"/>
  <c r="J57" i="1"/>
  <c r="J56" i="1"/>
  <c r="J55" i="1" s="1"/>
  <c r="I35" i="4"/>
  <c r="I34" i="4" s="1"/>
  <c r="I32" i="4"/>
  <c r="K11" i="27"/>
  <c r="K35" i="7" s="1"/>
  <c r="K16" i="7" s="1"/>
  <c r="J35" i="7"/>
  <c r="J16" i="7" s="1"/>
  <c r="J22" i="4"/>
  <c r="J20" i="4"/>
  <c r="I58" i="4"/>
  <c r="I57" i="4" s="1"/>
  <c r="I55" i="4"/>
  <c r="J36" i="7"/>
  <c r="J17" i="7" s="1"/>
  <c r="K12" i="27"/>
  <c r="K36" i="7" s="1"/>
  <c r="K17" i="7" s="1"/>
  <c r="J56" i="4"/>
  <c r="J54" i="4"/>
  <c r="I40" i="1"/>
  <c r="I41" i="1" s="1"/>
  <c r="J87" i="4"/>
  <c r="J89" i="4"/>
  <c r="J66" i="1"/>
  <c r="J65" i="1" s="1"/>
  <c r="J67" i="1"/>
  <c r="J63" i="1"/>
  <c r="K8" i="27"/>
  <c r="K32" i="7" s="1"/>
  <c r="K13" i="7" s="1"/>
  <c r="J32" i="7"/>
  <c r="J13" i="7" s="1"/>
  <c r="J26" i="1"/>
  <c r="J30" i="1"/>
  <c r="J29" i="1"/>
  <c r="J28" i="1" s="1"/>
  <c r="H26" i="4"/>
  <c r="H27" i="4" s="1"/>
  <c r="J101" i="4"/>
  <c r="J99" i="4"/>
  <c r="I43" i="4"/>
  <c r="I46" i="4"/>
  <c r="I45" i="4" s="1"/>
  <c r="I13" i="1"/>
  <c r="I14" i="1" s="1"/>
  <c r="K6" i="27"/>
  <c r="K30" i="7" s="1"/>
  <c r="K11" i="7" s="1"/>
  <c r="J30" i="7"/>
  <c r="J11" i="7" s="1"/>
  <c r="J42" i="4"/>
  <c r="J44" i="4"/>
  <c r="K5" i="27"/>
  <c r="K29" i="7" s="1"/>
  <c r="K10" i="7" s="1"/>
  <c r="J29" i="7"/>
  <c r="J10" i="7" s="1"/>
  <c r="H127" i="4"/>
  <c r="H128" i="4" s="1"/>
  <c r="I100" i="4"/>
  <c r="I103" i="4"/>
  <c r="I102" i="4" s="1"/>
  <c r="H93" i="4"/>
  <c r="H94" i="4" s="1"/>
  <c r="G127" i="4" l="1"/>
  <c r="G128" i="4" s="1"/>
  <c r="H30" i="4"/>
  <c r="H36" i="4"/>
  <c r="H31" i="1"/>
  <c r="H32" i="1" s="1"/>
  <c r="L63" i="4"/>
  <c r="L52" i="1"/>
  <c r="L54" i="1" s="1"/>
  <c r="L60" i="1" s="1"/>
  <c r="L52" i="4"/>
  <c r="L43" i="1"/>
  <c r="L45" i="1" s="1"/>
  <c r="L51" i="1" s="1"/>
  <c r="L29" i="4"/>
  <c r="L25" i="1"/>
  <c r="L27" i="1" s="1"/>
  <c r="L33" i="1" s="1"/>
  <c r="L97" i="4"/>
  <c r="L80" i="1"/>
  <c r="L82" i="1" s="1"/>
  <c r="L88" i="1" s="1"/>
  <c r="M97" i="4"/>
  <c r="M80" i="1"/>
  <c r="M82" i="1" s="1"/>
  <c r="M88" i="1" s="1"/>
  <c r="M119" i="4"/>
  <c r="M98" i="1"/>
  <c r="M100" i="1" s="1"/>
  <c r="M106" i="1" s="1"/>
  <c r="L130" i="4"/>
  <c r="L107" i="1"/>
  <c r="L109" i="1" s="1"/>
  <c r="L115" i="1" s="1"/>
  <c r="M52" i="4"/>
  <c r="M43" i="1"/>
  <c r="M45" i="1" s="1"/>
  <c r="M51" i="1" s="1"/>
  <c r="L98" i="1"/>
  <c r="L100" i="1" s="1"/>
  <c r="L106" i="1" s="1"/>
  <c r="L119" i="4"/>
  <c r="M29" i="4"/>
  <c r="M25" i="1"/>
  <c r="M27" i="1" s="1"/>
  <c r="M33" i="1" s="1"/>
  <c r="M130" i="4"/>
  <c r="M107" i="1"/>
  <c r="M109" i="1" s="1"/>
  <c r="M115" i="1" s="1"/>
  <c r="L74" i="4"/>
  <c r="L62" i="1"/>
  <c r="L64" i="1" s="1"/>
  <c r="L70" i="1" s="1"/>
  <c r="M40" i="4"/>
  <c r="M34" i="1"/>
  <c r="M36" i="1" s="1"/>
  <c r="M42" i="1" s="1"/>
  <c r="L85" i="4"/>
  <c r="L71" i="1"/>
  <c r="L73" i="1" s="1"/>
  <c r="L79" i="1" s="1"/>
  <c r="L40" i="4"/>
  <c r="L34" i="1"/>
  <c r="L36" i="1" s="1"/>
  <c r="L42" i="1" s="1"/>
  <c r="L18" i="4"/>
  <c r="L16" i="1"/>
  <c r="L18" i="1" s="1"/>
  <c r="L24" i="1" s="1"/>
  <c r="M18" i="4"/>
  <c r="M16" i="1"/>
  <c r="M18" i="1" s="1"/>
  <c r="M24" i="1" s="1"/>
  <c r="M85" i="4"/>
  <c r="M71" i="1"/>
  <c r="M73" i="1" s="1"/>
  <c r="M79" i="1" s="1"/>
  <c r="M63" i="4"/>
  <c r="M52" i="1"/>
  <c r="M54" i="1" s="1"/>
  <c r="M60" i="1" s="1"/>
  <c r="L7" i="4"/>
  <c r="L7" i="1"/>
  <c r="L9" i="1" s="1"/>
  <c r="L15" i="1" s="1"/>
  <c r="M74" i="4"/>
  <c r="M62" i="1"/>
  <c r="M64" i="1" s="1"/>
  <c r="M70" i="1" s="1"/>
  <c r="M7" i="4"/>
  <c r="M7" i="1"/>
  <c r="M9" i="1" s="1"/>
  <c r="M15" i="1" s="1"/>
  <c r="J107" i="4"/>
  <c r="J62" i="4"/>
  <c r="J39" i="4"/>
  <c r="J84" i="4"/>
  <c r="J129" i="4"/>
  <c r="K118" i="4"/>
  <c r="J95" i="4"/>
  <c r="J140" i="4"/>
  <c r="J17" i="4"/>
  <c r="J50" i="4"/>
  <c r="J28" i="4"/>
  <c r="J73" i="4"/>
  <c r="J86" i="1"/>
  <c r="J87" i="1" s="1"/>
  <c r="K95" i="1"/>
  <c r="K96" i="1" s="1"/>
  <c r="I127" i="4"/>
  <c r="I128" i="4" s="1"/>
  <c r="J116" i="4"/>
  <c r="J117" i="4" s="1"/>
  <c r="J58" i="1"/>
  <c r="J59" i="1" s="1"/>
  <c r="J68" i="1"/>
  <c r="J69" i="1" s="1"/>
  <c r="I26" i="4"/>
  <c r="I27" i="4" s="1"/>
  <c r="K87" i="4"/>
  <c r="K89" i="4"/>
  <c r="K111" i="1"/>
  <c r="K110" i="1" s="1"/>
  <c r="K108" i="1"/>
  <c r="K112" i="1"/>
  <c r="L93" i="1"/>
  <c r="L92" i="1" s="1"/>
  <c r="L90" i="1"/>
  <c r="L94" i="1"/>
  <c r="K21" i="1"/>
  <c r="K20" i="1"/>
  <c r="K19" i="1" s="1"/>
  <c r="K17" i="1"/>
  <c r="J136" i="4"/>
  <c r="J135" i="4" s="1"/>
  <c r="J133" i="4"/>
  <c r="J66" i="4"/>
  <c r="J69" i="4"/>
  <c r="J68" i="4" s="1"/>
  <c r="K11" i="4"/>
  <c r="K9" i="4"/>
  <c r="K66" i="1"/>
  <c r="K65" i="1" s="1"/>
  <c r="K67" i="1"/>
  <c r="K63" i="1"/>
  <c r="K47" i="1"/>
  <c r="K46" i="1" s="1"/>
  <c r="K44" i="1"/>
  <c r="K48" i="1"/>
  <c r="K72" i="1"/>
  <c r="K76" i="1"/>
  <c r="K75" i="1"/>
  <c r="K74" i="1" s="1"/>
  <c r="K132" i="4"/>
  <c r="K134" i="4"/>
  <c r="J126" i="4"/>
  <c r="J120" i="4"/>
  <c r="J113" i="1"/>
  <c r="J114" i="1" s="1"/>
  <c r="J8" i="4"/>
  <c r="J14" i="4"/>
  <c r="I71" i="4"/>
  <c r="I72" i="4" s="1"/>
  <c r="J104" i="1"/>
  <c r="J105" i="1" s="1"/>
  <c r="I48" i="4"/>
  <c r="I49" i="4" s="1"/>
  <c r="J36" i="4"/>
  <c r="J30" i="4"/>
  <c r="J75" i="4"/>
  <c r="J81" i="4"/>
  <c r="J43" i="4"/>
  <c r="J46" i="4"/>
  <c r="J45" i="4" s="1"/>
  <c r="J100" i="4"/>
  <c r="J103" i="4"/>
  <c r="J102" i="4" s="1"/>
  <c r="J88" i="4"/>
  <c r="J91" i="4"/>
  <c r="J90" i="4" s="1"/>
  <c r="K102" i="1"/>
  <c r="K101" i="1" s="1"/>
  <c r="K99" i="1"/>
  <c r="K103" i="1"/>
  <c r="J21" i="4"/>
  <c r="J24" i="4"/>
  <c r="J23" i="4" s="1"/>
  <c r="K53" i="1"/>
  <c r="K57" i="1"/>
  <c r="K56" i="1"/>
  <c r="K55" i="1" s="1"/>
  <c r="I93" i="4"/>
  <c r="I94" i="4" s="1"/>
  <c r="J125" i="4"/>
  <c r="J124" i="4" s="1"/>
  <c r="J122" i="4"/>
  <c r="I138" i="4"/>
  <c r="I139" i="4" s="1"/>
  <c r="I15" i="4"/>
  <c r="I16" i="4" s="1"/>
  <c r="I105" i="4"/>
  <c r="I106" i="4" s="1"/>
  <c r="J32" i="4"/>
  <c r="J35" i="4"/>
  <c r="J34" i="4" s="1"/>
  <c r="J77" i="4"/>
  <c r="J80" i="4"/>
  <c r="J79" i="4" s="1"/>
  <c r="I60" i="4"/>
  <c r="I61" i="4" s="1"/>
  <c r="I82" i="4"/>
  <c r="I83" i="4" s="1"/>
  <c r="K81" i="1"/>
  <c r="K85" i="1"/>
  <c r="K84" i="1"/>
  <c r="K83" i="1" s="1"/>
  <c r="J58" i="4"/>
  <c r="J57" i="4" s="1"/>
  <c r="J55" i="4"/>
  <c r="K111" i="4"/>
  <c r="K114" i="4"/>
  <c r="K113" i="4" s="1"/>
  <c r="J10" i="4"/>
  <c r="J13" i="4"/>
  <c r="J12" i="4" s="1"/>
  <c r="K30" i="1"/>
  <c r="K26" i="1"/>
  <c r="K29" i="1"/>
  <c r="K28" i="1" s="1"/>
  <c r="K42" i="4"/>
  <c r="K44" i="4"/>
  <c r="M94" i="1"/>
  <c r="M93" i="1"/>
  <c r="M92" i="1" s="1"/>
  <c r="M90" i="1"/>
  <c r="J104" i="4"/>
  <c r="J98" i="4"/>
  <c r="J31" i="1"/>
  <c r="J32" i="1" s="1"/>
  <c r="L110" i="4"/>
  <c r="L112" i="4"/>
  <c r="K121" i="4"/>
  <c r="K123" i="4"/>
  <c r="J19" i="4"/>
  <c r="J25" i="4"/>
  <c r="K67" i="4"/>
  <c r="K65" i="4"/>
  <c r="J137" i="4"/>
  <c r="J131" i="4"/>
  <c r="J22" i="1"/>
  <c r="J23" i="1" s="1"/>
  <c r="I37" i="4"/>
  <c r="I38" i="4" s="1"/>
  <c r="J40" i="1"/>
  <c r="J41" i="1" s="1"/>
  <c r="J47" i="4"/>
  <c r="J41" i="4"/>
  <c r="J86" i="4"/>
  <c r="J92" i="4"/>
  <c r="J59" i="4"/>
  <c r="J53" i="4"/>
  <c r="K22" i="4"/>
  <c r="K20" i="4"/>
  <c r="K115" i="4"/>
  <c r="K109" i="4"/>
  <c r="J64" i="4"/>
  <c r="J70" i="4"/>
  <c r="K11" i="1"/>
  <c r="K10" i="1" s="1"/>
  <c r="K12" i="1"/>
  <c r="K8" i="1"/>
  <c r="K78" i="4"/>
  <c r="K76" i="4"/>
  <c r="K33" i="4"/>
  <c r="K31" i="4"/>
  <c r="J13" i="1"/>
  <c r="J14" i="1" s="1"/>
  <c r="K35" i="1"/>
  <c r="K38" i="1"/>
  <c r="K37" i="1" s="1"/>
  <c r="K39" i="1"/>
  <c r="K54" i="4"/>
  <c r="K56" i="4"/>
  <c r="M112" i="4"/>
  <c r="M110" i="4"/>
  <c r="J49" i="1"/>
  <c r="J50" i="1" s="1"/>
  <c r="J77" i="1"/>
  <c r="J78" i="1" s="1"/>
  <c r="K99" i="4"/>
  <c r="K101" i="4"/>
  <c r="H37" i="4" l="1"/>
  <c r="H38" i="4" s="1"/>
  <c r="K28" i="4"/>
  <c r="M118" i="4"/>
  <c r="K84" i="4"/>
  <c r="K107" i="4"/>
  <c r="K62" i="4"/>
  <c r="K129" i="4"/>
  <c r="K140" i="4"/>
  <c r="K17" i="4"/>
  <c r="K95" i="4"/>
  <c r="L118" i="4"/>
  <c r="K50" i="4"/>
  <c r="K39" i="4"/>
  <c r="K73" i="4"/>
  <c r="K40" i="1"/>
  <c r="K41" i="1" s="1"/>
  <c r="K13" i="1"/>
  <c r="K14" i="1" s="1"/>
  <c r="J60" i="4"/>
  <c r="J61" i="4" s="1"/>
  <c r="J48" i="4"/>
  <c r="J49" i="4" s="1"/>
  <c r="J26" i="4"/>
  <c r="J27" i="4" s="1"/>
  <c r="M95" i="1"/>
  <c r="M96" i="1" s="1"/>
  <c r="K68" i="1"/>
  <c r="K69" i="1" s="1"/>
  <c r="K22" i="1"/>
  <c r="K23" i="1" s="1"/>
  <c r="K104" i="4"/>
  <c r="K98" i="4"/>
  <c r="K59" i="4"/>
  <c r="K53" i="4"/>
  <c r="K36" i="4"/>
  <c r="K30" i="4"/>
  <c r="M20" i="4"/>
  <c r="M22" i="4"/>
  <c r="M30" i="1"/>
  <c r="M29" i="1"/>
  <c r="M28" i="1" s="1"/>
  <c r="M26" i="1"/>
  <c r="M103" i="1"/>
  <c r="M99" i="1"/>
  <c r="M102" i="1"/>
  <c r="M101" i="1" s="1"/>
  <c r="M111" i="4"/>
  <c r="M114" i="4"/>
  <c r="M113" i="4" s="1"/>
  <c r="M12" i="1"/>
  <c r="M8" i="1"/>
  <c r="M11" i="1"/>
  <c r="M10" i="1" s="1"/>
  <c r="K81" i="4"/>
  <c r="K75" i="4"/>
  <c r="J71" i="4"/>
  <c r="J72" i="4" s="1"/>
  <c r="K25" i="4"/>
  <c r="K19" i="4"/>
  <c r="M48" i="1"/>
  <c r="M44" i="1"/>
  <c r="M47" i="1"/>
  <c r="M46" i="1" s="1"/>
  <c r="L39" i="1"/>
  <c r="L38" i="1"/>
  <c r="L37" i="1" s="1"/>
  <c r="L35" i="1"/>
  <c r="M132" i="4"/>
  <c r="M134" i="4"/>
  <c r="L87" i="4"/>
  <c r="L89" i="4"/>
  <c r="M101" i="4"/>
  <c r="M99" i="4"/>
  <c r="L114" i="4"/>
  <c r="L113" i="4" s="1"/>
  <c r="L111" i="4"/>
  <c r="L121" i="4"/>
  <c r="L123" i="4"/>
  <c r="L67" i="4"/>
  <c r="L65" i="4"/>
  <c r="M76" i="4"/>
  <c r="M78" i="4"/>
  <c r="M75" i="1"/>
  <c r="M74" i="1" s="1"/>
  <c r="M72" i="1"/>
  <c r="M76" i="1"/>
  <c r="L84" i="1"/>
  <c r="L83" i="1" s="1"/>
  <c r="L85" i="1"/>
  <c r="L81" i="1"/>
  <c r="L47" i="1"/>
  <c r="L46" i="1" s="1"/>
  <c r="L48" i="1"/>
  <c r="L44" i="1"/>
  <c r="J127" i="4"/>
  <c r="J128" i="4" s="1"/>
  <c r="K136" i="4"/>
  <c r="K135" i="4" s="1"/>
  <c r="K133" i="4"/>
  <c r="K77" i="1"/>
  <c r="K78" i="1" s="1"/>
  <c r="K49" i="1"/>
  <c r="K50" i="1" s="1"/>
  <c r="K8" i="4"/>
  <c r="K14" i="4"/>
  <c r="L95" i="1"/>
  <c r="L96" i="1" s="1"/>
  <c r="K113" i="1"/>
  <c r="K114" i="1" s="1"/>
  <c r="K103" i="4"/>
  <c r="K102" i="4" s="1"/>
  <c r="K100" i="4"/>
  <c r="K58" i="4"/>
  <c r="K57" i="4" s="1"/>
  <c r="K55" i="4"/>
  <c r="M11" i="4"/>
  <c r="M9" i="4"/>
  <c r="K77" i="4"/>
  <c r="K80" i="4"/>
  <c r="K79" i="4" s="1"/>
  <c r="K116" i="4"/>
  <c r="K117" i="4" s="1"/>
  <c r="K21" i="4"/>
  <c r="K24" i="4"/>
  <c r="K23" i="4" s="1"/>
  <c r="M56" i="4"/>
  <c r="M54" i="4"/>
  <c r="M17" i="1"/>
  <c r="M20" i="1"/>
  <c r="M19" i="1" s="1"/>
  <c r="M21" i="1"/>
  <c r="L44" i="4"/>
  <c r="L42" i="4"/>
  <c r="M111" i="1"/>
  <c r="M110" i="1" s="1"/>
  <c r="M112" i="1"/>
  <c r="M108" i="1"/>
  <c r="K70" i="4"/>
  <c r="K64" i="4"/>
  <c r="M81" i="1"/>
  <c r="M85" i="1"/>
  <c r="M84" i="1"/>
  <c r="M83" i="1" s="1"/>
  <c r="L109" i="4"/>
  <c r="L115" i="4"/>
  <c r="L102" i="1"/>
  <c r="L101" i="1" s="1"/>
  <c r="L99" i="1"/>
  <c r="L103" i="1"/>
  <c r="K31" i="1"/>
  <c r="K32" i="1" s="1"/>
  <c r="L134" i="4"/>
  <c r="L132" i="4"/>
  <c r="M87" i="4"/>
  <c r="M89" i="4"/>
  <c r="L99" i="4"/>
  <c r="L101" i="4"/>
  <c r="L54" i="4"/>
  <c r="L56" i="4"/>
  <c r="M67" i="4"/>
  <c r="M65" i="4"/>
  <c r="K137" i="4"/>
  <c r="K131" i="4"/>
  <c r="K10" i="4"/>
  <c r="K13" i="4"/>
  <c r="K12" i="4" s="1"/>
  <c r="K69" i="4"/>
  <c r="K68" i="4" s="1"/>
  <c r="K66" i="4"/>
  <c r="K122" i="4"/>
  <c r="K125" i="4"/>
  <c r="K124" i="4" s="1"/>
  <c r="K43" i="4"/>
  <c r="K46" i="4"/>
  <c r="K45" i="4" s="1"/>
  <c r="L33" i="4"/>
  <c r="L31" i="4"/>
  <c r="L9" i="4"/>
  <c r="L11" i="4"/>
  <c r="L112" i="1"/>
  <c r="L108" i="1"/>
  <c r="L111" i="1"/>
  <c r="L110" i="1" s="1"/>
  <c r="L20" i="4"/>
  <c r="L22" i="4"/>
  <c r="J82" i="4"/>
  <c r="J83" i="4" s="1"/>
  <c r="M57" i="1"/>
  <c r="M53" i="1"/>
  <c r="M56" i="1"/>
  <c r="M55" i="1" s="1"/>
  <c r="L78" i="4"/>
  <c r="L76" i="4"/>
  <c r="M35" i="1"/>
  <c r="M39" i="1"/>
  <c r="M38" i="1"/>
  <c r="M37" i="1" s="1"/>
  <c r="K88" i="4"/>
  <c r="K91" i="4"/>
  <c r="K90" i="4" s="1"/>
  <c r="M121" i="4"/>
  <c r="M123" i="4"/>
  <c r="M115" i="4"/>
  <c r="M109" i="4"/>
  <c r="K32" i="4"/>
  <c r="K35" i="4"/>
  <c r="K34" i="4" s="1"/>
  <c r="J93" i="4"/>
  <c r="J94" i="4" s="1"/>
  <c r="J138" i="4"/>
  <c r="J139" i="4" s="1"/>
  <c r="L72" i="1"/>
  <c r="L75" i="1"/>
  <c r="L74" i="1" s="1"/>
  <c r="L76" i="1"/>
  <c r="K120" i="4"/>
  <c r="K126" i="4"/>
  <c r="J105" i="4"/>
  <c r="J106" i="4" s="1"/>
  <c r="M33" i="4"/>
  <c r="M31" i="4"/>
  <c r="K41" i="4"/>
  <c r="K47" i="4"/>
  <c r="L29" i="1"/>
  <c r="L28" i="1" s="1"/>
  <c r="L30" i="1"/>
  <c r="L26" i="1"/>
  <c r="K86" i="1"/>
  <c r="K87" i="1" s="1"/>
  <c r="L11" i="1"/>
  <c r="L10" i="1" s="1"/>
  <c r="L8" i="1"/>
  <c r="L12" i="1"/>
  <c r="L56" i="1"/>
  <c r="L55" i="1" s="1"/>
  <c r="L53" i="1"/>
  <c r="L57" i="1"/>
  <c r="M66" i="1"/>
  <c r="M65" i="1" s="1"/>
  <c r="M63" i="1"/>
  <c r="M67" i="1"/>
  <c r="K58" i="1"/>
  <c r="K59" i="1" s="1"/>
  <c r="K104" i="1"/>
  <c r="K105" i="1" s="1"/>
  <c r="L17" i="1"/>
  <c r="L21" i="1"/>
  <c r="L20" i="1"/>
  <c r="L19" i="1" s="1"/>
  <c r="J37" i="4"/>
  <c r="J38" i="4" s="1"/>
  <c r="J15" i="4"/>
  <c r="J16" i="4" s="1"/>
  <c r="L67" i="1"/>
  <c r="L66" i="1"/>
  <c r="L65" i="1" s="1"/>
  <c r="L63" i="1"/>
  <c r="M42" i="4"/>
  <c r="M44" i="4"/>
  <c r="K92" i="4"/>
  <c r="K86" i="4"/>
  <c r="L39" i="4" l="1"/>
  <c r="M73" i="4"/>
  <c r="L140" i="4"/>
  <c r="L50" i="4"/>
  <c r="M17" i="4"/>
  <c r="M107" i="4"/>
  <c r="L28" i="4"/>
  <c r="L84" i="4"/>
  <c r="L17" i="4"/>
  <c r="L62" i="4"/>
  <c r="M95" i="4"/>
  <c r="M50" i="4"/>
  <c r="M129" i="4"/>
  <c r="L107" i="4"/>
  <c r="M62" i="4"/>
  <c r="M84" i="4"/>
  <c r="L129" i="4"/>
  <c r="M140" i="4"/>
  <c r="M28" i="4"/>
  <c r="M39" i="4"/>
  <c r="L73" i="4"/>
  <c r="L95" i="4"/>
  <c r="M68" i="1"/>
  <c r="M69" i="1" s="1"/>
  <c r="L116" i="4"/>
  <c r="L117" i="4" s="1"/>
  <c r="K93" i="4"/>
  <c r="K94" i="4" s="1"/>
  <c r="K48" i="4"/>
  <c r="K49" i="4" s="1"/>
  <c r="M116" i="4"/>
  <c r="M117" i="4" s="1"/>
  <c r="L113" i="1"/>
  <c r="L114" i="1" s="1"/>
  <c r="K138" i="4"/>
  <c r="K139" i="4" s="1"/>
  <c r="M22" i="1"/>
  <c r="M23" i="1" s="1"/>
  <c r="L49" i="1"/>
  <c r="L50" i="1" s="1"/>
  <c r="M113" i="1"/>
  <c r="M114" i="1" s="1"/>
  <c r="M49" i="1"/>
  <c r="M50" i="1" s="1"/>
  <c r="K60" i="4"/>
  <c r="K61" i="4" s="1"/>
  <c r="M47" i="4"/>
  <c r="M41" i="4"/>
  <c r="L14" i="4"/>
  <c r="L8" i="4"/>
  <c r="L55" i="4"/>
  <c r="L58" i="4"/>
  <c r="L57" i="4" s="1"/>
  <c r="K71" i="4"/>
  <c r="K72" i="4" s="1"/>
  <c r="L46" i="4"/>
  <c r="L45" i="4" s="1"/>
  <c r="L43" i="4"/>
  <c r="M14" i="4"/>
  <c r="M8" i="4"/>
  <c r="L68" i="1"/>
  <c r="L69" i="1" s="1"/>
  <c r="L22" i="1"/>
  <c r="L23" i="1" s="1"/>
  <c r="L58" i="1"/>
  <c r="L59" i="1" s="1"/>
  <c r="L13" i="1"/>
  <c r="L14" i="1" s="1"/>
  <c r="L31" i="1"/>
  <c r="L32" i="1" s="1"/>
  <c r="M35" i="4"/>
  <c r="M34" i="4" s="1"/>
  <c r="M32" i="4"/>
  <c r="L77" i="1"/>
  <c r="L78" i="1" s="1"/>
  <c r="M125" i="4"/>
  <c r="M124" i="4" s="1"/>
  <c r="M122" i="4"/>
  <c r="L75" i="4"/>
  <c r="L81" i="4"/>
  <c r="L19" i="4"/>
  <c r="L25" i="4"/>
  <c r="L32" i="4"/>
  <c r="L35" i="4"/>
  <c r="L34" i="4" s="1"/>
  <c r="M70" i="4"/>
  <c r="M64" i="4"/>
  <c r="L103" i="4"/>
  <c r="L102" i="4" s="1"/>
  <c r="L100" i="4"/>
  <c r="L137" i="4"/>
  <c r="L131" i="4"/>
  <c r="L104" i="1"/>
  <c r="L105" i="1" s="1"/>
  <c r="M86" i="1"/>
  <c r="M87" i="1" s="1"/>
  <c r="M55" i="4"/>
  <c r="M58" i="4"/>
  <c r="M57" i="4" s="1"/>
  <c r="K15" i="4"/>
  <c r="K16" i="4" s="1"/>
  <c r="L64" i="4"/>
  <c r="L70" i="4"/>
  <c r="L88" i="4"/>
  <c r="L91" i="4"/>
  <c r="L90" i="4" s="1"/>
  <c r="L40" i="1"/>
  <c r="L41" i="1" s="1"/>
  <c r="K26" i="4"/>
  <c r="K27" i="4" s="1"/>
  <c r="M43" i="4"/>
  <c r="M46" i="4"/>
  <c r="M45" i="4" s="1"/>
  <c r="M120" i="4"/>
  <c r="M126" i="4"/>
  <c r="L80" i="4"/>
  <c r="L79" i="4" s="1"/>
  <c r="L77" i="4"/>
  <c r="L13" i="4"/>
  <c r="L12" i="4" s="1"/>
  <c r="L10" i="4"/>
  <c r="M66" i="4"/>
  <c r="M69" i="4"/>
  <c r="M68" i="4" s="1"/>
  <c r="L98" i="4"/>
  <c r="L104" i="4"/>
  <c r="L136" i="4"/>
  <c r="L135" i="4" s="1"/>
  <c r="L133" i="4"/>
  <c r="L41" i="4"/>
  <c r="L47" i="4"/>
  <c r="L66" i="4"/>
  <c r="L69" i="4"/>
  <c r="L68" i="4" s="1"/>
  <c r="L92" i="4"/>
  <c r="L86" i="4"/>
  <c r="K82" i="4"/>
  <c r="K83" i="4" s="1"/>
  <c r="M13" i="1"/>
  <c r="M14" i="1" s="1"/>
  <c r="M31" i="1"/>
  <c r="M32" i="1" s="1"/>
  <c r="M24" i="4"/>
  <c r="M23" i="4" s="1"/>
  <c r="M21" i="4"/>
  <c r="K105" i="4"/>
  <c r="K106" i="4" s="1"/>
  <c r="M88" i="4"/>
  <c r="M91" i="4"/>
  <c r="M90" i="4" s="1"/>
  <c r="M80" i="4"/>
  <c r="M79" i="4" s="1"/>
  <c r="M77" i="4"/>
  <c r="L122" i="4"/>
  <c r="L125" i="4"/>
  <c r="L124" i="4" s="1"/>
  <c r="M98" i="4"/>
  <c r="M104" i="4"/>
  <c r="M133" i="4"/>
  <c r="M136" i="4"/>
  <c r="M135" i="4" s="1"/>
  <c r="M25" i="4"/>
  <c r="M19" i="4"/>
  <c r="M30" i="4"/>
  <c r="M36" i="4"/>
  <c r="K127" i="4"/>
  <c r="K128" i="4" s="1"/>
  <c r="M40" i="1"/>
  <c r="M41" i="1" s="1"/>
  <c r="M58" i="1"/>
  <c r="M59" i="1" s="1"/>
  <c r="L21" i="4"/>
  <c r="L24" i="4"/>
  <c r="L23" i="4" s="1"/>
  <c r="L30" i="4"/>
  <c r="L36" i="4"/>
  <c r="L53" i="4"/>
  <c r="L59" i="4"/>
  <c r="M86" i="4"/>
  <c r="M92" i="4"/>
  <c r="M53" i="4"/>
  <c r="M59" i="4"/>
  <c r="M10" i="4"/>
  <c r="M13" i="4"/>
  <c r="M12" i="4" s="1"/>
  <c r="L86" i="1"/>
  <c r="L87" i="1" s="1"/>
  <c r="M77" i="1"/>
  <c r="M78" i="1" s="1"/>
  <c r="M75" i="4"/>
  <c r="M81" i="4"/>
  <c r="L120" i="4"/>
  <c r="L126" i="4"/>
  <c r="M100" i="4"/>
  <c r="M103" i="4"/>
  <c r="M102" i="4" s="1"/>
  <c r="M137" i="4"/>
  <c r="M131" i="4"/>
  <c r="M104" i="1"/>
  <c r="M105" i="1" s="1"/>
  <c r="K37" i="4"/>
  <c r="K38" i="4" s="1"/>
  <c r="M82" i="4" l="1"/>
  <c r="M83" i="4" s="1"/>
  <c r="M60" i="4"/>
  <c r="M61" i="4" s="1"/>
  <c r="L48" i="4"/>
  <c r="L49" i="4" s="1"/>
  <c r="M93" i="4"/>
  <c r="M94" i="4" s="1"/>
  <c r="M26" i="4"/>
  <c r="M27" i="4" s="1"/>
  <c r="L127" i="4"/>
  <c r="L128" i="4" s="1"/>
  <c r="L93" i="4"/>
  <c r="L94" i="4" s="1"/>
  <c r="L105" i="4"/>
  <c r="L106" i="4" s="1"/>
  <c r="M138" i="4"/>
  <c r="M139" i="4" s="1"/>
  <c r="M127" i="4"/>
  <c r="M128" i="4" s="1"/>
  <c r="L71" i="4"/>
  <c r="L72" i="4" s="1"/>
  <c r="L138" i="4"/>
  <c r="L139" i="4" s="1"/>
  <c r="M71" i="4"/>
  <c r="M72" i="4" s="1"/>
  <c r="M48" i="4"/>
  <c r="M49" i="4" s="1"/>
  <c r="M105" i="4"/>
  <c r="M106" i="4" s="1"/>
  <c r="M15" i="4"/>
  <c r="M16" i="4" s="1"/>
  <c r="L15" i="4"/>
  <c r="L16" i="4" s="1"/>
  <c r="L60" i="4"/>
  <c r="L61" i="4" s="1"/>
  <c r="L37" i="4"/>
  <c r="L38" i="4" s="1"/>
  <c r="M37" i="4"/>
  <c r="M38" i="4" s="1"/>
  <c r="L26" i="4"/>
  <c r="L27" i="4" s="1"/>
  <c r="L82" i="4"/>
  <c r="L8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30" authorId="0" shapeId="0" xr:uid="{00000000-0006-0000-0000-000005000000}">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francis.scott</author>
    <author>Anthony J Fanchi</author>
  </authors>
  <commentList>
    <comment ref="C15" authorId="0" shapeId="0" xr:uid="{00000000-0006-0000-0400-000001000000}">
      <text>
        <r>
          <rPr>
            <b/>
            <sz val="8"/>
            <color indexed="81"/>
            <rFont val="Tahoma"/>
            <family val="2"/>
          </rPr>
          <t>Enter Annual Base Salary only!  Do not include Locality Pay, Local Market Supplement, or overtime.</t>
        </r>
      </text>
    </comment>
    <comment ref="C20" authorId="1" shapeId="0" xr:uid="{00000000-0006-0000-0400-000002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shapeId="0" xr:uid="{00000000-0006-0000-0400-000003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shapeId="0" xr:uid="{00000000-0006-0000-0400-00000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shapeId="0" xr:uid="{00000000-0006-0000-0400-000005000000}">
      <text>
        <r>
          <rPr>
            <b/>
            <sz val="8"/>
            <color indexed="81"/>
            <rFont val="Tahoma"/>
            <family val="2"/>
          </rPr>
          <t xml:space="preserve">REG PAY refers to amount earned for the regular 80 hours a pay period (40 a week).  On your LES, it is referred to as "REGULAR PAY."
</t>
        </r>
      </text>
    </comment>
    <comment ref="C22" authorId="1" shapeId="0" xr:uid="{00000000-0006-0000-0400-000006000000}">
      <text>
        <r>
          <rPr>
            <b/>
            <sz val="8"/>
            <color indexed="81"/>
            <rFont val="Tahoma"/>
            <family val="2"/>
          </rPr>
          <t xml:space="preserve">FF RATE refers to the hourly pay actually received for the first 106 hours.  It is less than the normal GS rate.
</t>
        </r>
      </text>
    </comment>
    <comment ref="G22" authorId="1" shapeId="0" xr:uid="{00000000-0006-0000-0400-000007000000}">
      <text>
        <r>
          <rPr>
            <b/>
            <sz val="8"/>
            <color indexed="81"/>
            <rFont val="Tahoma"/>
            <family val="2"/>
          </rPr>
          <t>REG RATE refers to the hourly pay actually received for those 80 hours.  It is the normal hourly rate of a 40-hour employee.</t>
        </r>
      </text>
    </comment>
    <comment ref="C23" authorId="1" shapeId="0" xr:uid="{00000000-0006-0000-0400-000008000000}">
      <text>
        <r>
          <rPr>
            <b/>
            <sz val="8"/>
            <color indexed="81"/>
            <rFont val="Tahoma"/>
            <family val="2"/>
          </rPr>
          <t>OT PAY refers to overtime pay earned for all hours beyond 106.  On your LES, it is referred to as "OT IN TOUR."</t>
        </r>
      </text>
    </comment>
    <comment ref="G23" authorId="1" shapeId="0" xr:uid="{00000000-0006-0000-0400-000009000000}">
      <text>
        <r>
          <rPr>
            <b/>
            <sz val="8"/>
            <color indexed="81"/>
            <rFont val="Tahoma"/>
            <family val="2"/>
          </rPr>
          <t xml:space="preserve">FF PAY refers to the amount earned for 26 hours a pay period (hours 41 to 53 a week).  On your LES, it is also referred to as "REGULAR PAY."
</t>
        </r>
      </text>
    </comment>
    <comment ref="C24" authorId="1" shapeId="0" xr:uid="{00000000-0006-0000-0400-00000A000000}">
      <text>
        <r>
          <rPr>
            <b/>
            <sz val="8"/>
            <color indexed="81"/>
            <rFont val="Tahoma"/>
            <family val="2"/>
          </rPr>
          <t>OT RATE refers to 1 1/2 times the FF hourly rate.  It is less than GS overtime.</t>
        </r>
      </text>
    </comment>
    <comment ref="G24" authorId="1" shapeId="0" xr:uid="{00000000-0006-0000-0400-00000B000000}">
      <text>
        <r>
          <rPr>
            <b/>
            <sz val="8"/>
            <color indexed="81"/>
            <rFont val="Tahoma"/>
            <family val="2"/>
          </rPr>
          <t>FF RATE refers to the hourly pay actually received for those 26 hours.  It is the same as shift firefighters of equal grade and step receive.</t>
        </r>
      </text>
    </comment>
    <comment ref="C25" authorId="1" shapeId="0" xr:uid="{00000000-0006-0000-0400-00000C000000}">
      <text>
        <r>
          <rPr>
            <b/>
            <sz val="8"/>
            <color indexed="81"/>
            <rFont val="Tahoma"/>
            <family val="2"/>
          </rPr>
          <t xml:space="preserve">COLA refers to the Non-Foreign Cost of Living Allowance federal workers receive when employed outside the continental U.S.
</t>
        </r>
      </text>
    </comment>
    <comment ref="G25" authorId="1" shapeId="0" xr:uid="{00000000-0006-0000-0400-00000D000000}">
      <text>
        <r>
          <rPr>
            <b/>
            <sz val="8"/>
            <color indexed="81"/>
            <rFont val="Tahoma"/>
            <family val="2"/>
          </rPr>
          <t xml:space="preserve">OT PAY refers to overtime pay earned for all hours beyond 106.  On your LES, it is referred to as "OT IN TOUR."
</t>
        </r>
      </text>
    </comment>
    <comment ref="C26" authorId="1" shapeId="0" xr:uid="{00000000-0006-0000-0400-00000E000000}">
      <text>
        <r>
          <rPr>
            <b/>
            <sz val="8"/>
            <color indexed="81"/>
            <rFont val="Tahoma"/>
            <family val="2"/>
          </rPr>
          <t xml:space="preserve">PAY PERIOD refers to the actual gross pay you should receive each pay period.  It is derived by adding FF and OT pay together plus COLA (if applicable).
</t>
        </r>
      </text>
    </comment>
    <comment ref="G26" authorId="1" shapeId="0" xr:uid="{00000000-0006-0000-0400-00000F000000}">
      <text>
        <r>
          <rPr>
            <b/>
            <sz val="8"/>
            <color indexed="81"/>
            <rFont val="Tahoma"/>
            <family val="2"/>
          </rPr>
          <t>OT RATE refers to 1 1/2 times the FF hourly rate.  It is less than GS overtime.</t>
        </r>
      </text>
    </comment>
    <comment ref="C27" authorId="1" shapeId="0" xr:uid="{00000000-0006-0000-0400-000010000000}">
      <text>
        <r>
          <rPr>
            <b/>
            <sz val="8"/>
            <color indexed="81"/>
            <rFont val="Tahoma"/>
            <family val="2"/>
          </rPr>
          <t xml:space="preserve">ANNUAL PAY refers to the actual gross pay you should receive for 26 or 27 (if applicable) pay periods.  
</t>
        </r>
      </text>
    </comment>
    <comment ref="G27" authorId="1" shapeId="0" xr:uid="{00000000-0006-0000-0400-000011000000}">
      <text>
        <r>
          <rPr>
            <b/>
            <sz val="8"/>
            <color indexed="81"/>
            <rFont val="Tahoma"/>
            <family val="2"/>
          </rPr>
          <t xml:space="preserve">COLA refers to the Non-Foreign Cost of Living Allowance federal workers receive when employed outside the continental U.S.
</t>
        </r>
      </text>
    </comment>
    <comment ref="C28" authorId="1" shapeId="0" xr:uid="{00000000-0006-0000-04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shapeId="0" xr:uid="{00000000-0006-0000-0400-000013000000}">
      <text>
        <r>
          <rPr>
            <b/>
            <sz val="8"/>
            <color indexed="81"/>
            <rFont val="Tahoma"/>
            <family val="2"/>
          </rPr>
          <t>PAY PERIOD refers to the actual gross pay you should receive each pay period.  It is derived by adding GS, FF, and OT pay together plus COLA (if applicable).</t>
        </r>
      </text>
    </comment>
    <comment ref="G29" authorId="1" shapeId="0" xr:uid="{00000000-0006-0000-0400-000014000000}">
      <text>
        <r>
          <rPr>
            <b/>
            <sz val="8"/>
            <color indexed="81"/>
            <rFont val="Tahoma"/>
            <family val="2"/>
          </rPr>
          <t xml:space="preserve">ANNUAL PAY refers to the actual gross pay you should receive for 26 or 27 (if applicable) pay periods.  
</t>
        </r>
      </text>
    </comment>
    <comment ref="G30" authorId="1" shapeId="0" xr:uid="{00000000-0006-0000-0400-000015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6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600-000002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shapeId="0" xr:uid="{00000000-0006-0000-0600-000003000000}">
      <text>
        <r>
          <rPr>
            <b/>
            <sz val="8"/>
            <color indexed="81"/>
            <rFont val="Tahoma"/>
            <family val="2"/>
          </rPr>
          <t xml:space="preserve">FF RATE refers to the hourly pay actually received for the first 106 hours.  It is less than the normal GS rate.
</t>
        </r>
      </text>
    </comment>
    <comment ref="C10" authorId="0" shapeId="0" xr:uid="{00000000-0006-0000-0600-000004000000}">
      <text>
        <r>
          <rPr>
            <b/>
            <sz val="8"/>
            <color indexed="81"/>
            <rFont val="Tahoma"/>
            <family val="2"/>
          </rPr>
          <t xml:space="preserve">OT PAY refers to overtime pay earned for all hours beyond 106.  On your LES, it is referred to as "OT IN TOUR."
</t>
        </r>
      </text>
    </comment>
    <comment ref="C11" authorId="0" shapeId="0" xr:uid="{00000000-0006-0000-0600-000005000000}">
      <text>
        <r>
          <rPr>
            <b/>
            <sz val="8"/>
            <color indexed="81"/>
            <rFont val="Tahoma"/>
            <family val="2"/>
          </rPr>
          <t>OT RATE refers to 1 1/2 times the FF hourly rate.  It is less than GS overtime.</t>
        </r>
      </text>
    </comment>
    <comment ref="C12" authorId="0" shapeId="0" xr:uid="{00000000-0006-0000-0600-000006000000}">
      <text>
        <r>
          <rPr>
            <b/>
            <sz val="8"/>
            <color indexed="81"/>
            <rFont val="Tahoma"/>
            <family val="2"/>
          </rPr>
          <t xml:space="preserve">COLA refers to the Non-Foreign Cost of Living Allowance federal workers receive when employed outside the continental U.S.
</t>
        </r>
      </text>
    </comment>
    <comment ref="C13" authorId="0" shapeId="0" xr:uid="{00000000-0006-0000-0600-000007000000}">
      <text>
        <r>
          <rPr>
            <b/>
            <sz val="8"/>
            <color indexed="81"/>
            <rFont val="Tahoma"/>
            <family val="2"/>
          </rPr>
          <t xml:space="preserve">PAY PERIOD refers to the actual gross pay you should receive each pay period.  It is derived by adding FF and OT pay together plus COLA (if applicable).
</t>
        </r>
      </text>
    </comment>
    <comment ref="C14" authorId="0" shapeId="0" xr:uid="{00000000-0006-0000-0600-000008000000}">
      <text>
        <r>
          <rPr>
            <b/>
            <sz val="8"/>
            <color indexed="81"/>
            <rFont val="Tahoma"/>
            <family val="2"/>
          </rPr>
          <t xml:space="preserve">ANNUAL PAY refers to the actual gross pay you should receive for 26 pay periods.  
</t>
        </r>
      </text>
    </comment>
    <comment ref="C15" authorId="0" shapeId="0" xr:uid="{00000000-0006-0000-0600-00000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7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700-000002000000}">
      <text>
        <r>
          <rPr>
            <b/>
            <sz val="8"/>
            <color indexed="81"/>
            <rFont val="Tahoma"/>
            <family val="2"/>
          </rPr>
          <t xml:space="preserve">GS PAY refers to amount earned for the regular 80 hours a pay period (40 a week).  On your LES, it is referred to as "REGULAR PAY."
</t>
        </r>
      </text>
    </comment>
    <comment ref="C9" authorId="0" shapeId="0" xr:uid="{00000000-0006-0000-0700-000003000000}">
      <text>
        <r>
          <rPr>
            <b/>
            <sz val="8"/>
            <color indexed="81"/>
            <rFont val="Tahoma"/>
            <family val="2"/>
          </rPr>
          <t xml:space="preserve">GS RATE refers to the hourly pay actually received for those 80 hours.  It is the normal GS rate.
</t>
        </r>
      </text>
    </comment>
    <comment ref="C10" authorId="0" shapeId="0" xr:uid="{00000000-0006-0000-0700-000004000000}">
      <text>
        <r>
          <rPr>
            <b/>
            <sz val="8"/>
            <color indexed="81"/>
            <rFont val="Tahoma"/>
            <family val="2"/>
          </rPr>
          <t xml:space="preserve">FF PAY refers to the amount earned for 26 hours a pay period (hours 41 to 53 a week).  On your LES, it is also referred to as "REGULAR PAY."
</t>
        </r>
      </text>
    </comment>
    <comment ref="C11" authorId="0" shapeId="0" xr:uid="{00000000-0006-0000-0700-000005000000}">
      <text>
        <r>
          <rPr>
            <b/>
            <sz val="8"/>
            <color indexed="81"/>
            <rFont val="Tahoma"/>
            <family val="2"/>
          </rPr>
          <t>FF RATE refers to the hourly pay actually received for those 26 hours.  It is the same as shift firefighters of equal grade and step receive.</t>
        </r>
      </text>
    </comment>
    <comment ref="C12" authorId="0" shapeId="0" xr:uid="{00000000-0006-0000-0700-000006000000}">
      <text>
        <r>
          <rPr>
            <b/>
            <sz val="8"/>
            <color indexed="81"/>
            <rFont val="Tahoma"/>
            <family val="2"/>
          </rPr>
          <t xml:space="preserve">OT PAY refers to overtime pay earned for all hours beyond 106.  On your LES, it is referred to as "OT IN TOUR."
</t>
        </r>
      </text>
    </comment>
    <comment ref="C13" authorId="0" shapeId="0" xr:uid="{00000000-0006-0000-0700-000007000000}">
      <text>
        <r>
          <rPr>
            <b/>
            <sz val="8"/>
            <color indexed="81"/>
            <rFont val="Tahoma"/>
            <family val="2"/>
          </rPr>
          <t>OT RATE refers to 1 1/2 times the FF hourly rate.  It is less than GS overtime.</t>
        </r>
      </text>
    </comment>
    <comment ref="C14" authorId="0" shapeId="0" xr:uid="{00000000-0006-0000-0700-000008000000}">
      <text>
        <r>
          <rPr>
            <b/>
            <sz val="8"/>
            <color indexed="81"/>
            <rFont val="Tahoma"/>
            <family val="2"/>
          </rPr>
          <t xml:space="preserve">COLA refers to the Non-Foreign Cost of Living Allowance federal workers receive when employed outside the continental U.S.
</t>
        </r>
      </text>
    </comment>
    <comment ref="C15" authorId="0" shapeId="0" xr:uid="{00000000-0006-0000-0700-000009000000}">
      <text>
        <r>
          <rPr>
            <b/>
            <sz val="8"/>
            <color indexed="81"/>
            <rFont val="Tahoma"/>
            <family val="2"/>
          </rPr>
          <t>PAY PERIOD refers to the actual gross pay you should receive each pay period.  It is derived by adding GS, FF, and OT pay together plus COLA (if applicable).</t>
        </r>
      </text>
    </comment>
    <comment ref="C16" authorId="0" shapeId="0" xr:uid="{00000000-0006-0000-0700-00000A000000}">
      <text>
        <r>
          <rPr>
            <b/>
            <sz val="8"/>
            <color indexed="81"/>
            <rFont val="Tahoma"/>
            <family val="2"/>
          </rPr>
          <t xml:space="preserve">ANNUAL PAY refers to the actual gross pay you should receive for 26 pay periods.  
</t>
        </r>
      </text>
    </comment>
    <comment ref="C17" authorId="0" shapeId="0" xr:uid="{00000000-0006-0000-0700-00000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<sst xmlns="http://schemas.openxmlformats.org/spreadsheetml/2006/main" count="558" uniqueCount="190">
  <si>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</si>
  <si>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</si>
  <si>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</si>
  <si>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</si>
  <si>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</si>
  <si>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</si>
  <si>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</si>
  <si>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</si>
  <si>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</si>
  <si>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</si>
  <si>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</si>
  <si>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</si>
  <si>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</si>
  <si>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</si>
  <si>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</si>
  <si>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</si>
  <si>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</si>
  <si>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</si>
  <si>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</si>
  <si>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</si>
  <si>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</si>
  <si>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</si>
  <si>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</si>
  <si>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</si>
  <si>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</si>
  <si>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</si>
  <si>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</si>
  <si>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</si>
  <si>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</si>
  <si>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</si>
  <si>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</si>
  <si>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</si>
  <si>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</si>
  <si>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</si>
  <si>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</si>
  <si>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This is NOT an official pay chart.</t>
  </si>
  <si>
    <t>Shift Schedule:</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</si>
  <si>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</si>
  <si>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</si>
  <si>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</si>
  <si>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</si>
  <si>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</si>
  <si>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</si>
  <si>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</si>
  <si>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</si>
  <si>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</si>
  <si>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</si>
  <si>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</si>
  <si>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</si>
  <si>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</si>
  <si>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</si>
  <si>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</si>
  <si>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</si>
  <si>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</si>
  <si>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</si>
  <si>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</si>
  <si>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</si>
  <si>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</si>
  <si>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</si>
  <si>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U.S. Virgin Islands</t>
  </si>
  <si>
    <t>Guam and Northern Mariana Islands</t>
  </si>
  <si>
    <t>Puerto Rico</t>
  </si>
  <si>
    <t>Set for Rest of US initially.  Change as needed.</t>
  </si>
  <si>
    <t>Locality Rate:</t>
  </si>
  <si>
    <t>Basic Pay (No Locality or COLA)</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</si>
  <si>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</si>
  <si>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</si>
  <si>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</si>
  <si>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</si>
  <si>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</si>
  <si>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</si>
  <si>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</si>
  <si>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</si>
  <si>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American Samoa</t>
  </si>
  <si>
    <t>Johnston and Sand Island</t>
  </si>
  <si>
    <t>Midway Islands</t>
  </si>
  <si>
    <t>Wake Island</t>
  </si>
  <si>
    <t>Rest of the United States</t>
  </si>
  <si>
    <t>Locality Pay Rate:</t>
  </si>
  <si>
    <t xml:space="preserve"> Make sure the manual entries are blank if not applicable.</t>
  </si>
  <si>
    <t xml:space="preserve"> Caution: These entries will replace the above rates.</t>
  </si>
  <si>
    <t>Post</t>
  </si>
  <si>
    <t>Return to Start Page</t>
  </si>
  <si>
    <t>COLA Rate:</t>
  </si>
  <si>
    <t>Shift Firefighters</t>
  </si>
  <si>
    <t>Annual Basic Pay:</t>
  </si>
  <si>
    <t>PAY</t>
  </si>
  <si>
    <t>Chief, Training, Inspectors</t>
  </si>
  <si>
    <t>Do you receive a Post Differential?</t>
  </si>
  <si>
    <t>Yes</t>
  </si>
  <si>
    <t>No</t>
  </si>
  <si>
    <t>Frozen COLA</t>
  </si>
  <si>
    <t>Adjusted COLA</t>
  </si>
  <si>
    <t>COLA/Post Diff Rate:</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</si>
  <si>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</si>
  <si>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</si>
  <si>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</si>
  <si>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</si>
  <si>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</si>
  <si>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</si>
  <si>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</si>
  <si>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</si>
  <si>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</si>
  <si>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t>PAY RETENTION &amp; SPECIAL RATES</t>
  </si>
  <si>
    <t>*Note: This page is for personnel who are paid a specific salary not covered by the GS pay tables*</t>
  </si>
  <si>
    <t>This form is used to enter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</si>
  <si>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</si>
  <si>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</si>
  <si>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</si>
  <si>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</si>
  <si>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</si>
  <si>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</si>
  <si>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t xml:space="preserve">Albuquerque-Santa Fe-Las Vegas, NM </t>
  </si>
  <si>
    <t xml:space="preserve">Atlanta—Athens-Clarke County—Sandy Springs, GA-AL </t>
  </si>
  <si>
    <t xml:space="preserve">Austin-Round Rock, TX </t>
  </si>
  <si>
    <t xml:space="preserve">Buffalo-Cheektowaga, NY </t>
  </si>
  <si>
    <t xml:space="preserve">Charlotte-Concord, NC-SC </t>
  </si>
  <si>
    <t xml:space="preserve">Chicago-Naperville, IL-IN-WI </t>
  </si>
  <si>
    <t xml:space="preserve">Cincinnati-Wilmington-Maysville, OH-KY-IN </t>
  </si>
  <si>
    <t xml:space="preserve">Cleveland-Akron-Canton, OH </t>
  </si>
  <si>
    <t xml:space="preserve">Colorado Springs, CO </t>
  </si>
  <si>
    <t xml:space="preserve">Columbus-Marion-Zanesville, OH </t>
  </si>
  <si>
    <t xml:space="preserve">Dallas-Fort Worth, TX-OK </t>
  </si>
  <si>
    <t xml:space="preserve">Davenport-Moline, IA-IL </t>
  </si>
  <si>
    <t xml:space="preserve">Dayton-Springfield-Sidney, OH </t>
  </si>
  <si>
    <t xml:space="preserve">Denver-Aurora, CO </t>
  </si>
  <si>
    <t xml:space="preserve">Detroit-Warren-Ann Arbor, MI </t>
  </si>
  <si>
    <t xml:space="preserve">Harrisburg-Lebanon, PA </t>
  </si>
  <si>
    <t xml:space="preserve">Hartford-West Hartford, CT-MA </t>
  </si>
  <si>
    <t xml:space="preserve">Houston-The Woodlands, TX </t>
  </si>
  <si>
    <t xml:space="preserve">Huntsville-Decatur-Albertville, AL </t>
  </si>
  <si>
    <t xml:space="preserve">Indianapolis-Carmel-Muncie, IN </t>
  </si>
  <si>
    <t xml:space="preserve">Kansas City-Overland Park-Kansas City, MO-KS </t>
  </si>
  <si>
    <t xml:space="preserve">Laredo, TX </t>
  </si>
  <si>
    <t xml:space="preserve">Las Vegas-Henderson, NV-AZ </t>
  </si>
  <si>
    <t xml:space="preserve">Los Angeles-Long Beach, CA </t>
  </si>
  <si>
    <t xml:space="preserve">Miami-Fort Lauderdale-Port St. Lucie, FL </t>
  </si>
  <si>
    <t xml:space="preserve">Milwaukee-Racine-Waukesha, WI </t>
  </si>
  <si>
    <t xml:space="preserve">Minneapolis-St. Paul, MN-WI </t>
  </si>
  <si>
    <t xml:space="preserve">New York-Newark, NY-NJ-CT-PA </t>
  </si>
  <si>
    <t xml:space="preserve">Palm Bay-Melbourne-Titusville, FL </t>
  </si>
  <si>
    <t xml:space="preserve">Philadelphia-Reading-Camden, PA-NJ-DE-MD </t>
  </si>
  <si>
    <t xml:space="preserve">Phoenix-Mesa-Scottsdale, AZ </t>
  </si>
  <si>
    <t xml:space="preserve">Pittsburgh-New Castle-Weirton, PA-OH-WV </t>
  </si>
  <si>
    <t xml:space="preserve">Portland-Vancouver-Salem, OR-WA </t>
  </si>
  <si>
    <t xml:space="preserve">Raleigh-Durham-Chapel Hill, NC </t>
  </si>
  <si>
    <t xml:space="preserve">Richmond, VA </t>
  </si>
  <si>
    <t xml:space="preserve">Sacramento-Roseville, CA-NV </t>
  </si>
  <si>
    <t xml:space="preserve">San Diego-Carlsbad, CA </t>
  </si>
  <si>
    <t xml:space="preserve">San Jose-San Francisco-Oakland, CA </t>
  </si>
  <si>
    <t xml:space="preserve">Seattle-Tacoma, WA </t>
  </si>
  <si>
    <t xml:space="preserve">St. Louis-St. Charles-Farmington, MO-IL </t>
  </si>
  <si>
    <t xml:space="preserve">Tucson-Nogales, AZ </t>
  </si>
  <si>
    <t xml:space="preserve">Washington-Baltimore-Arlington, DC-MD-VA-WV-PA </t>
  </si>
  <si>
    <t>Birmingham-Hoover-Talladega, AL</t>
  </si>
  <si>
    <t>Albany-Schenectady, NY-MA</t>
  </si>
  <si>
    <t xml:space="preserve">Boston-Worcester-Providence, MA-RI-NH-ME </t>
  </si>
  <si>
    <t>Burlington-South Burlington, VT</t>
  </si>
  <si>
    <t>Omaha-Council Bluffs-Fremont, NE-IA</t>
  </si>
  <si>
    <t>San Antonio-New Braunfels-Pearsall, TX</t>
  </si>
  <si>
    <t>Virginia Beach-Norfolk, VA-NC</t>
  </si>
  <si>
    <t>COLA/Post Diff</t>
  </si>
  <si>
    <t>Post Differential</t>
  </si>
  <si>
    <t>Executive Order</t>
  </si>
  <si>
    <t>Corpus Christi-Kingsville-Alice, TX</t>
  </si>
  <si>
    <t>The following sections will provide the information necessary to change or update the above settings</t>
  </si>
  <si>
    <r>
      <t xml:space="preserve">Non-foreign Area Cost-of-Living Allowances:  </t>
    </r>
    <r>
      <rPr>
        <i/>
        <sz val="12"/>
        <color theme="0"/>
        <rFont val="Calibri"/>
        <family val="2"/>
        <scheme val="minor"/>
      </rPr>
      <t>The Non-Foreign Area Retirement Equity Assurance Act of 2009 changed non-foreign areas such as Alaska, Hawaii, and the United States territories, e.g. Puerto Rico, Guam, U.S. Virgin Islands, etc. to Locality Pay.  COLA will slowly be phased out as the individual Locality rates increase.</t>
    </r>
  </si>
  <si>
    <r>
      <t xml:space="preserve">COLA vs. Post Differential:  </t>
    </r>
    <r>
      <rPr>
        <sz val="12"/>
        <color theme="0"/>
        <rFont val="Calibri"/>
        <family val="2"/>
        <scheme val="minor"/>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</si>
  <si>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r>
      <t xml:space="preserve">Changing Locality and/or COLA Rates: </t>
    </r>
    <r>
      <rPr>
        <i/>
        <sz val="12"/>
        <color theme="0"/>
        <rFont val="Calibri"/>
        <family val="2"/>
        <scheme val="minor"/>
      </rPr>
      <t>Click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</si>
  <si>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t>Locality/COLA:</t>
  </si>
  <si>
    <r>
      <t>ANNUAL RAISES:</t>
    </r>
    <r>
      <rPr>
        <i/>
        <sz val="12"/>
        <color theme="0"/>
        <rFont val="Calibri"/>
        <family val="2"/>
        <scheme val="minor"/>
      </rPr>
      <t xml:space="preserve">  You can estimate future salaries in this section by entering annual raises in the blocks below.  Enter the combined rate for both the General Increase and the Locality increase.  </t>
    </r>
    <r>
      <rPr>
        <b/>
        <i/>
        <sz val="12"/>
        <color theme="0"/>
        <rFont val="Calibri"/>
        <family val="2"/>
        <scheme val="minor"/>
      </rPr>
      <t xml:space="preserve">Please Note: </t>
    </r>
    <r>
      <rPr>
        <i/>
        <sz val="12"/>
        <color theme="0"/>
        <rFont val="Calibri"/>
        <family val="2"/>
        <scheme val="minor"/>
      </rPr>
      <t>The size of the raises will vary based on locality area.  OPM will post all the combined rates.  Updated programs should become available as official raises are approved.</t>
    </r>
  </si>
  <si>
    <r>
      <t>SAVING YOUR CHANGES:</t>
    </r>
    <r>
      <rPr>
        <i/>
        <sz val="12"/>
        <color theme="0"/>
        <rFont val="Calibri"/>
        <family val="2"/>
        <scheme val="minor"/>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</si>
  <si>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r>
      <t>FILE SPREADSHEETS:</t>
    </r>
    <r>
      <rPr>
        <i/>
        <sz val="12"/>
        <color theme="0"/>
        <rFont val="Calibri"/>
        <family val="2"/>
        <scheme val="minor"/>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</si>
  <si>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t>COLA Rates</t>
  </si>
  <si>
    <t>Manual Locality and COLA Rate Data Entry</t>
  </si>
  <si>
    <t>Developed by:</t>
  </si>
  <si>
    <t>Anthony J Fanchi</t>
  </si>
  <si>
    <t>Pay &amp; Retirement Consultant</t>
  </si>
  <si>
    <r>
      <t>WORK SCHEDULE:</t>
    </r>
    <r>
      <rPr>
        <i/>
        <sz val="12"/>
        <color theme="0"/>
        <rFont val="Calibri"/>
        <family val="2"/>
        <scheme val="minor"/>
      </rPr>
      <t xml:space="preserve">  There are two main firefighter pay charts--one for 24 hour shift firefighters, and one for the firefighters who work Monday - Friday and usually stay one night a week (Fire Chief, Fire Inspectors, etc.).  There are three main hourly schedules--72 hours a week, 60 hours, and 56 hours.  There are also a few Firefighters who work 84 hours a week (168 / pay period) or 53 hours a week (106 / pay period).  Firefighters working less than 53 hours a week are not covered by these charts.  To change an hourly schedule, click on the appropriate space below and select the new hours.</t>
    </r>
  </si>
  <si>
    <t>Monday - Friday:</t>
  </si>
  <si>
    <t>Des Moines-Ames-West Des Moines, IA</t>
  </si>
  <si>
    <r>
      <t xml:space="preserve">NSPS PAY RETENTION &amp; SPECIAL PAY RATES:  </t>
    </r>
    <r>
      <rPr>
        <i/>
        <sz val="12"/>
        <color theme="0"/>
        <rFont val="Calibri"/>
        <family val="2"/>
        <scheme val="minor"/>
      </rPr>
      <t>A separate spreadsheet is available for firefighters who have pay retention after NSPS or earn a special rate base pay.  This sheet allows users to manually enter their appropriate base pay.  To enter your salary, first complete any applicable changes above, then select "Pay Retention &amp; Special Rates" for additional information.</t>
    </r>
  </si>
  <si>
    <t>FedFirePay LLC</t>
  </si>
  <si>
    <t>Special Rate Table - Min $15/hr</t>
  </si>
  <si>
    <t>fedfirepay.com</t>
  </si>
  <si>
    <t>Temp - Manual Entry</t>
  </si>
  <si>
    <t>Executive Schedule IV:</t>
  </si>
  <si>
    <t>(Currently applies to San Jose GS-14 Step 10 - Adjust as needed)</t>
  </si>
  <si>
    <t>admin@fedfirepay.com</t>
  </si>
  <si>
    <t>Locality Rates are available in Schedule 9 of the 2023 Executive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</si>
</sst>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
  </numFmts>
  <fonts count="68" x14ac:knownFonts="1">
    <font>
      <sz val="10"/>
      <name val="Arial"/>
    </font>
    <font>
      <sz val="10"/>
      <name val="Arial"/>
      <family val="2"/>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amily val="2"/>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amily val="2"/>
    </font>
    <font>
      <b/>
      <sz val="10"/>
      <color indexed="10"/>
      <name val="Arial"/>
      <family val="2"/>
    </font>
    <font>
      <b/>
      <u/>
      <sz val="8"/>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20"/>
      <name val="Arial"/>
      <family val="2"/>
    </font>
    <font>
      <b/>
      <i/>
      <sz val="14"/>
      <color indexed="10"/>
      <name val="Arial"/>
      <family val="2"/>
    </font>
    <font>
      <sz val="10"/>
      <color theme="0"/>
      <name val="Arial"/>
      <family val="2"/>
    </font>
    <font>
      <u/>
      <sz val="10"/>
      <color theme="0"/>
      <name val="Arial"/>
      <family val="2"/>
    </font>
    <font>
      <b/>
      <sz val="10"/>
      <color theme="0"/>
      <name val="Arial"/>
      <family val="2"/>
    </font>
    <font>
      <b/>
      <i/>
      <u/>
      <sz val="16"/>
      <color theme="0"/>
      <name val="Cambria"/>
      <family val="1"/>
    </font>
    <font>
      <b/>
      <i/>
      <u/>
      <sz val="18"/>
      <color theme="0"/>
      <name val="Cambria"/>
      <family val="1"/>
    </font>
    <font>
      <b/>
      <u/>
      <sz val="10"/>
      <color theme="0"/>
      <name val="Arial"/>
      <family val="2"/>
    </font>
    <font>
      <sz val="24"/>
      <color rgb="FFFFFF00"/>
      <name val="Arial"/>
      <family val="2"/>
    </font>
    <font>
      <b/>
      <i/>
      <sz val="24"/>
      <color rgb="FFFFFF00"/>
      <name val="Arial"/>
      <family val="2"/>
    </font>
    <font>
      <b/>
      <i/>
      <sz val="22"/>
      <color rgb="FFFFFF00"/>
      <name val="Arial"/>
      <family val="2"/>
    </font>
    <font>
      <b/>
      <sz val="10"/>
      <color theme="1"/>
      <name val="Arial"/>
      <family val="2"/>
    </font>
    <font>
      <b/>
      <u/>
      <sz val="10"/>
      <color theme="1"/>
      <name val="Arial"/>
      <family val="2"/>
    </font>
    <font>
      <sz val="12"/>
      <color theme="0"/>
      <name val="Calibri"/>
      <family val="2"/>
      <scheme val="minor"/>
    </font>
    <font>
      <i/>
      <sz val="12"/>
      <color theme="0"/>
      <name val="Calibri"/>
      <family val="2"/>
      <scheme val="minor"/>
    </font>
    <font>
      <b/>
      <i/>
      <sz val="12"/>
      <color rgb="FFFFFF00"/>
      <name val="Arial"/>
      <family val="2"/>
    </font>
    <font>
      <b/>
      <sz val="12"/>
      <color theme="0"/>
      <name val="Calibri"/>
      <family val="2"/>
      <scheme val="minor"/>
    </font>
    <font>
      <b/>
      <i/>
      <sz val="12"/>
      <color theme="0"/>
      <name val="Calibri"/>
      <family val="2"/>
      <scheme val="minor"/>
    </font>
    <font>
      <b/>
      <i/>
      <sz val="12"/>
      <color rgb="FFFFFF00"/>
      <name val="Calibri"/>
      <family val="2"/>
      <scheme val="minor"/>
    </font>
    <font>
      <b/>
      <u/>
      <sz val="10"/>
      <color rgb="FFFFFF00"/>
      <name val="Arial"/>
      <family val="2"/>
    </font>
    <font>
      <b/>
      <i/>
      <sz val="12"/>
      <color rgb="FFFF0000"/>
      <name val="Calibri"/>
      <family val="2"/>
      <scheme val="minor"/>
    </font>
    <font>
      <b/>
      <i/>
      <sz val="12"/>
      <color theme="1"/>
      <name val="Calibri"/>
      <family val="2"/>
      <scheme val="minor"/>
    </font>
    <font>
      <b/>
      <i/>
      <sz val="16"/>
      <color indexed="12"/>
      <name val="Calibri"/>
      <family val="2"/>
      <scheme val="minor"/>
    </font>
    <font>
      <i/>
      <sz val="75"/>
      <color rgb="FFFF0000"/>
      <name val="Algerian"/>
      <family val="5"/>
    </font>
    <font>
      <b/>
      <i/>
      <sz val="12"/>
      <color indexed="12"/>
      <name val="Arial"/>
      <family val="2"/>
    </font>
    <font>
      <b/>
      <i/>
      <sz val="14"/>
      <color theme="7"/>
      <name val="Arial"/>
      <family val="2"/>
    </font>
    <font>
      <sz val="9"/>
      <name val="Arial"/>
      <family val="2"/>
    </font>
    <font>
      <sz val="10"/>
      <color rgb="FFFF0000"/>
      <name val="Arial"/>
      <family val="2"/>
    </font>
    <font>
      <b/>
      <i/>
      <sz val="16"/>
      <color indexed="1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theme="1"/>
      </left>
      <right style="thin">
        <color theme="1"/>
      </right>
      <top style="thin">
        <color theme="1"/>
      </top>
      <bottom style="thin">
        <color theme="1"/>
      </bottom>
      <diagonal/>
    </border>
  </borders>
  <cellStyleXfs count="45">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1"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4" fillId="23" borderId="7" applyNumberFormat="0" applyFont="0" applyAlignment="0" applyProtection="0"/>
    <xf numFmtId="0" fontId="35" fillId="20"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0">
    <xf numFmtId="0" fontId="0" fillId="0" borderId="0" xfId="0"/>
    <xf numFmtId="0" fontId="4" fillId="0" borderId="0" xfId="0" applyFont="1"/>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Alignment="1">
      <alignment horizontal="center"/>
    </xf>
    <xf numFmtId="0" fontId="9" fillId="0" borderId="10" xfId="0" applyFont="1" applyBorder="1" applyAlignment="1">
      <alignment horizontal="center" wrapText="1"/>
    </xf>
    <xf numFmtId="0" fontId="0" fillId="0" borderId="0" xfId="0" applyAlignment="1">
      <alignment horizontal="center"/>
    </xf>
    <xf numFmtId="0" fontId="2" fillId="0" borderId="0" xfId="0" applyFont="1" applyAlignment="1">
      <alignment horizontal="left"/>
    </xf>
    <xf numFmtId="0" fontId="12" fillId="0" borderId="0" xfId="0" applyFont="1" applyAlignment="1">
      <alignment horizontal="center"/>
    </xf>
    <xf numFmtId="0" fontId="4" fillId="0" borderId="17" xfId="0" applyFont="1" applyBorder="1" applyAlignment="1">
      <alignment horizontal="center" wrapText="1"/>
    </xf>
    <xf numFmtId="0" fontId="4" fillId="0" borderId="0" xfId="0" applyFont="1" applyAlignment="1">
      <alignment horizontal="center"/>
    </xf>
    <xf numFmtId="0" fontId="9" fillId="0" borderId="17" xfId="0" applyFont="1" applyBorder="1" applyAlignment="1">
      <alignment horizontal="center" wrapText="1"/>
    </xf>
    <xf numFmtId="0" fontId="17" fillId="24" borderId="10" xfId="0" applyFont="1" applyFill="1" applyBorder="1" applyAlignment="1">
      <alignment horizontal="center" wrapText="1"/>
    </xf>
    <xf numFmtId="3" fontId="17"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7" fillId="0" borderId="10" xfId="0" applyFont="1" applyBorder="1" applyAlignment="1">
      <alignment horizontal="center" wrapText="1"/>
    </xf>
    <xf numFmtId="3" fontId="17" fillId="0" borderId="10" xfId="0" applyNumberFormat="1" applyFont="1" applyBorder="1" applyAlignment="1">
      <alignment horizontal="center" wrapText="1"/>
    </xf>
    <xf numFmtId="0" fontId="17" fillId="24" borderId="14" xfId="0" applyFont="1" applyFill="1" applyBorder="1" applyAlignment="1">
      <alignment horizontal="center" wrapText="1"/>
    </xf>
    <xf numFmtId="0" fontId="17" fillId="24" borderId="17" xfId="0" applyFont="1" applyFill="1" applyBorder="1" applyAlignment="1">
      <alignment horizontal="center" wrapText="1"/>
    </xf>
    <xf numFmtId="3" fontId="17" fillId="24" borderId="18" xfId="0" applyNumberFormat="1" applyFont="1" applyFill="1" applyBorder="1" applyAlignment="1">
      <alignment horizontal="center" wrapText="1"/>
    </xf>
    <xf numFmtId="3" fontId="17" fillId="24" borderId="19" xfId="0" applyNumberFormat="1" applyFont="1" applyFill="1" applyBorder="1" applyAlignment="1">
      <alignment horizontal="center" wrapText="1"/>
    </xf>
    <xf numFmtId="1" fontId="17"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7" fillId="0" borderId="10" xfId="0" applyNumberFormat="1" applyFont="1" applyBorder="1" applyAlignment="1">
      <alignment horizontal="center" wrapText="1"/>
    </xf>
    <xf numFmtId="3" fontId="0" fillId="0" borderId="10" xfId="0" applyNumberFormat="1" applyBorder="1" applyAlignment="1">
      <alignment horizontal="center" wrapText="1"/>
    </xf>
    <xf numFmtId="3" fontId="0" fillId="0" borderId="10" xfId="0" applyNumberFormat="1" applyBorder="1" applyAlignment="1">
      <alignment horizontal="center"/>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xf>
    <xf numFmtId="10" fontId="0" fillId="0" borderId="20" xfId="0" applyNumberFormat="1" applyBorder="1" applyAlignment="1">
      <alignment horizontal="center" vertical="center" wrapText="1"/>
    </xf>
    <xf numFmtId="10" fontId="0" fillId="0" borderId="24" xfId="0" applyNumberFormat="1" applyBorder="1" applyAlignment="1">
      <alignment horizontal="center" vertical="center" wrapText="1"/>
    </xf>
    <xf numFmtId="0" fontId="0" fillId="0" borderId="0" xfId="0" applyAlignment="1">
      <alignment horizontal="center" vertical="center"/>
    </xf>
    <xf numFmtId="0" fontId="4"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11" fillId="0" borderId="0" xfId="35" applyAlignment="1" applyProtection="1">
      <alignment horizontal="center" vertical="center"/>
    </xf>
    <xf numFmtId="0" fontId="41" fillId="0" borderId="0" xfId="0" applyFont="1" applyAlignment="1" applyProtection="1">
      <alignment horizontal="center" vertical="center"/>
      <protection hidden="1"/>
    </xf>
    <xf numFmtId="0" fontId="1" fillId="0" borderId="10" xfId="0" applyFont="1" applyBorder="1" applyAlignment="1">
      <alignment horizontal="center" wrapText="1"/>
    </xf>
    <xf numFmtId="0" fontId="41" fillId="0" borderId="0" xfId="0" applyFont="1" applyProtection="1">
      <protection hidden="1"/>
    </xf>
    <xf numFmtId="0" fontId="42" fillId="0" borderId="0" xfId="35" applyFont="1" applyAlignment="1" applyProtection="1">
      <protection hidden="1"/>
    </xf>
    <xf numFmtId="0" fontId="49" fillId="0" borderId="0" xfId="0" applyFont="1" applyAlignment="1" applyProtection="1">
      <alignment vertical="center"/>
      <protection hidden="1"/>
    </xf>
    <xf numFmtId="0" fontId="47" fillId="0" borderId="0" xfId="0" applyFont="1" applyAlignment="1" applyProtection="1">
      <alignment vertical="center"/>
      <protection hidden="1"/>
    </xf>
    <xf numFmtId="0" fontId="41" fillId="0" borderId="0" xfId="0" applyFont="1" applyAlignment="1" applyProtection="1">
      <alignment vertical="center"/>
      <protection hidden="1"/>
    </xf>
    <xf numFmtId="0" fontId="43" fillId="0" borderId="0" xfId="0" applyFont="1" applyAlignment="1" applyProtection="1">
      <alignment vertical="center"/>
      <protection hidden="1"/>
    </xf>
    <xf numFmtId="0" fontId="44" fillId="0" borderId="0" xfId="35" applyFont="1" applyFill="1" applyAlignment="1" applyProtection="1">
      <alignment vertical="center"/>
      <protection hidden="1"/>
    </xf>
    <xf numFmtId="0" fontId="45" fillId="0" borderId="0" xfId="35" applyFont="1" applyAlignment="1" applyProtection="1">
      <alignment vertical="center"/>
      <protection hidden="1"/>
    </xf>
    <xf numFmtId="0" fontId="41" fillId="0" borderId="0" xfId="0" applyFont="1" applyAlignment="1" applyProtection="1">
      <alignment vertical="center" wrapText="1"/>
      <protection hidden="1"/>
    </xf>
    <xf numFmtId="0" fontId="43" fillId="0" borderId="0" xfId="0" applyFont="1" applyAlignment="1" applyProtection="1">
      <alignment vertical="center" wrapText="1"/>
      <protection hidden="1"/>
    </xf>
    <xf numFmtId="0" fontId="52" fillId="0" borderId="0" xfId="0" applyFont="1" applyAlignment="1" applyProtection="1">
      <alignment vertical="center"/>
      <protection hidden="1"/>
    </xf>
    <xf numFmtId="0" fontId="46" fillId="0" borderId="0" xfId="0" applyFont="1" applyAlignment="1" applyProtection="1">
      <alignment vertical="center"/>
      <protection hidden="1"/>
    </xf>
    <xf numFmtId="0" fontId="56" fillId="0" borderId="0" xfId="0" applyFont="1" applyAlignment="1" applyProtection="1">
      <alignment vertical="center"/>
      <protection hidden="1"/>
    </xf>
    <xf numFmtId="0" fontId="51" fillId="25" borderId="0" xfId="0" applyFont="1" applyFill="1" applyAlignment="1" applyProtection="1">
      <alignment horizontal="center" vertical="center"/>
      <protection locked="0" hidden="1"/>
    </xf>
    <xf numFmtId="0" fontId="43" fillId="0" borderId="0" xfId="0" applyFont="1" applyAlignment="1" applyProtection="1">
      <alignment horizontal="left" vertical="center"/>
      <protection hidden="1"/>
    </xf>
    <xf numFmtId="0" fontId="41" fillId="0" borderId="0" xfId="0" applyFont="1" applyAlignment="1" applyProtection="1">
      <alignment horizontal="left" vertical="center"/>
      <protection hidden="1"/>
    </xf>
    <xf numFmtId="0" fontId="42" fillId="0" borderId="0" xfId="0" applyFont="1" applyAlignment="1" applyProtection="1">
      <alignment horizontal="center" vertical="center"/>
      <protection hidden="1"/>
    </xf>
    <xf numFmtId="0" fontId="42" fillId="0" borderId="0" xfId="0" applyFont="1" applyAlignment="1" applyProtection="1">
      <alignment horizontal="left" vertical="center"/>
      <protection hidden="1"/>
    </xf>
    <xf numFmtId="10" fontId="58" fillId="0" borderId="0" xfId="0" applyNumberFormat="1" applyFont="1" applyAlignment="1" applyProtection="1">
      <alignment horizontal="center" vertical="center"/>
      <protection hidden="1"/>
    </xf>
    <xf numFmtId="10" fontId="42" fillId="0" borderId="0" xfId="0" applyNumberFormat="1" applyFont="1" applyAlignment="1" applyProtection="1">
      <alignment horizontal="left" vertical="center"/>
      <protection hidden="1"/>
    </xf>
    <xf numFmtId="0" fontId="42" fillId="0" borderId="0" xfId="0" applyFont="1" applyAlignment="1" applyProtection="1">
      <alignment vertical="center"/>
      <protection hidden="1"/>
    </xf>
    <xf numFmtId="2" fontId="43" fillId="0" borderId="0" xfId="0" applyNumberFormat="1" applyFont="1" applyAlignment="1" applyProtection="1">
      <alignment horizontal="center" vertical="center"/>
      <protection hidden="1"/>
    </xf>
    <xf numFmtId="10" fontId="51" fillId="25" borderId="0" xfId="0" applyNumberFormat="1" applyFont="1" applyFill="1" applyAlignment="1" applyProtection="1">
      <alignment horizontal="center" vertical="center"/>
      <protection locked="0" hidden="1"/>
    </xf>
    <xf numFmtId="10" fontId="42" fillId="0" borderId="0" xfId="0" applyNumberFormat="1" applyFont="1" applyAlignment="1" applyProtection="1">
      <alignment horizontal="center" vertical="center"/>
      <protection hidden="1"/>
    </xf>
    <xf numFmtId="0" fontId="43" fillId="0" borderId="0" xfId="0" applyFont="1" applyAlignment="1" applyProtection="1">
      <alignment horizontal="left" vertical="center" wrapText="1"/>
      <protection hidden="1"/>
    </xf>
    <xf numFmtId="10" fontId="41" fillId="0" borderId="0" xfId="0" applyNumberFormat="1" applyFont="1" applyAlignment="1" applyProtection="1">
      <alignment horizontal="left" vertical="center"/>
      <protection hidden="1"/>
    </xf>
    <xf numFmtId="0" fontId="60" fillId="26" borderId="25" xfId="0" applyFont="1" applyFill="1" applyBorder="1" applyAlignment="1" applyProtection="1">
      <alignment horizontal="center" vertical="center"/>
      <protection hidden="1"/>
    </xf>
    <xf numFmtId="0" fontId="43" fillId="0" borderId="0" xfId="0" applyFont="1" applyAlignment="1" applyProtection="1">
      <alignment horizontal="center" vertical="center"/>
      <protection hidden="1"/>
    </xf>
    <xf numFmtId="0" fontId="60" fillId="26" borderId="10" xfId="0" applyFont="1" applyFill="1" applyBorder="1" applyAlignment="1" applyProtection="1">
      <alignment horizontal="center" vertical="center"/>
      <protection hidden="1"/>
    </xf>
    <xf numFmtId="0" fontId="50" fillId="26" borderId="25" xfId="0" applyFont="1" applyFill="1" applyBorder="1" applyAlignment="1" applyProtection="1">
      <alignment horizontal="center" vertical="center"/>
      <protection hidden="1"/>
    </xf>
    <xf numFmtId="10" fontId="50" fillId="25" borderId="25" xfId="0" applyNumberFormat="1" applyFont="1" applyFill="1" applyBorder="1" applyAlignment="1" applyProtection="1">
      <alignment horizontal="center" vertical="center"/>
      <protection locked="0" hidden="1"/>
    </xf>
    <xf numFmtId="10" fontId="43" fillId="0" borderId="0" xfId="41" applyNumberFormat="1" applyFont="1" applyAlignment="1" applyProtection="1">
      <alignment horizontal="left" vertical="center"/>
      <protection hidden="1"/>
    </xf>
    <xf numFmtId="0" fontId="50" fillId="26" borderId="10" xfId="0" applyFont="1" applyFill="1" applyBorder="1" applyAlignment="1" applyProtection="1">
      <alignment horizontal="center" vertical="center"/>
      <protection hidden="1"/>
    </xf>
    <xf numFmtId="2" fontId="50" fillId="25" borderId="10" xfId="0" applyNumberFormat="1" applyFont="1" applyFill="1" applyBorder="1" applyAlignment="1" applyProtection="1">
      <alignment horizontal="center" vertical="center"/>
      <protection hidden="1"/>
    </xf>
    <xf numFmtId="2" fontId="41" fillId="0" borderId="0" xfId="0" applyNumberFormat="1" applyFont="1" applyAlignment="1" applyProtection="1">
      <alignment horizontal="center" vertical="center"/>
      <protection hidden="1"/>
    </xf>
    <xf numFmtId="0" fontId="42" fillId="0" borderId="0" xfId="0" applyFont="1" applyAlignment="1" applyProtection="1">
      <alignment horizontal="center"/>
      <protection hidden="1"/>
    </xf>
    <xf numFmtId="0" fontId="41" fillId="0" borderId="0" xfId="0" applyFont="1" applyAlignment="1" applyProtection="1">
      <alignment horizontal="left"/>
      <protection hidden="1"/>
    </xf>
    <xf numFmtId="0" fontId="57" fillId="0" borderId="0" xfId="0" applyFont="1" applyAlignment="1" applyProtection="1">
      <alignment vertical="center"/>
      <protection hidden="1"/>
    </xf>
    <xf numFmtId="0" fontId="56" fillId="0" borderId="0" xfId="0" applyFont="1" applyAlignment="1" applyProtection="1">
      <alignment horizontal="left" vertical="center"/>
      <protection hidden="1"/>
    </xf>
    <xf numFmtId="0" fontId="57" fillId="0" borderId="0" xfId="0" applyFont="1" applyAlignment="1" applyProtection="1">
      <alignment horizontal="left" vertical="center"/>
      <protection hidden="1"/>
    </xf>
    <xf numFmtId="0" fontId="0" fillId="0" borderId="0" xfId="0" applyProtection="1">
      <protection hidden="1"/>
    </xf>
    <xf numFmtId="0" fontId="39" fillId="0" borderId="0" xfId="0" applyFont="1" applyAlignment="1" applyProtection="1">
      <alignment horizontal="center"/>
      <protection hidden="1"/>
    </xf>
    <xf numFmtId="0" fontId="11" fillId="0" borderId="0" xfId="35" applyAlignment="1" applyProtection="1">
      <protection hidden="1"/>
    </xf>
    <xf numFmtId="0" fontId="4" fillId="0" borderId="0" xfId="0" applyFont="1" applyProtection="1">
      <protection hidden="1"/>
    </xf>
    <xf numFmtId="0" fontId="11" fillId="0" borderId="0" xfId="35" applyAlignment="1" applyProtection="1">
      <alignment horizontal="center"/>
      <protection hidden="1"/>
    </xf>
    <xf numFmtId="0" fontId="14" fillId="0" borderId="0" xfId="0" applyFont="1" applyAlignment="1" applyProtection="1">
      <alignment horizontal="right"/>
      <protection hidden="1"/>
    </xf>
    <xf numFmtId="0" fontId="14" fillId="0" borderId="0" xfId="0" applyFont="1" applyAlignment="1" applyProtection="1">
      <alignment horizontal="left"/>
      <protection hidden="1"/>
    </xf>
    <xf numFmtId="10" fontId="4" fillId="0" borderId="0" xfId="41" applyNumberFormat="1" applyFont="1" applyAlignment="1" applyProtection="1">
      <alignment horizontal="center"/>
      <protection hidden="1"/>
    </xf>
    <xf numFmtId="0" fontId="2" fillId="0" borderId="0" xfId="0" applyFont="1" applyAlignment="1" applyProtection="1">
      <alignment horizontal="center"/>
      <protection hidden="1"/>
    </xf>
    <xf numFmtId="0" fontId="15" fillId="0" borderId="0" xfId="0" applyFont="1" applyAlignment="1" applyProtection="1">
      <alignment horizontal="center"/>
      <protection hidden="1"/>
    </xf>
    <xf numFmtId="0" fontId="8" fillId="0" borderId="0" xfId="0" applyFont="1" applyProtection="1">
      <protection hidden="1"/>
    </xf>
    <xf numFmtId="0" fontId="2" fillId="0" borderId="0" xfId="0" applyFont="1" applyAlignment="1" applyProtection="1">
      <alignment wrapText="1"/>
      <protection hidden="1"/>
    </xf>
    <xf numFmtId="0" fontId="2" fillId="0" borderId="0" xfId="0" applyFont="1" applyProtection="1">
      <protection hidden="1"/>
    </xf>
    <xf numFmtId="164" fontId="4" fillId="24" borderId="0" xfId="0" applyNumberFormat="1" applyFont="1" applyFill="1" applyAlignment="1" applyProtection="1">
      <alignment horizontal="center"/>
      <protection locked="0" hidden="1"/>
    </xf>
    <xf numFmtId="0" fontId="2" fillId="0" borderId="0" xfId="0" applyFont="1" applyAlignment="1" applyProtection="1">
      <alignment horizontal="left"/>
      <protection hidden="1"/>
    </xf>
    <xf numFmtId="0" fontId="2" fillId="0" borderId="10"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0" fillId="0" borderId="22" xfId="0" applyBorder="1" applyProtection="1">
      <protection hidden="1"/>
    </xf>
    <xf numFmtId="44" fontId="4" fillId="0" borderId="14" xfId="28" applyFont="1" applyBorder="1" applyAlignment="1" applyProtection="1">
      <alignment horizontal="left"/>
      <protection hidden="1"/>
    </xf>
    <xf numFmtId="0" fontId="0" fillId="0" borderId="15" xfId="0" applyBorder="1" applyProtection="1">
      <protection hidden="1"/>
    </xf>
    <xf numFmtId="44" fontId="5" fillId="0" borderId="13" xfId="28" applyFont="1" applyBorder="1" applyAlignment="1" applyProtection="1">
      <alignment horizontal="left"/>
      <protection hidden="1"/>
    </xf>
    <xf numFmtId="0" fontId="4" fillId="0" borderId="13" xfId="0" applyFont="1" applyBorder="1" applyProtection="1">
      <protection hidden="1"/>
    </xf>
    <xf numFmtId="44" fontId="0" fillId="0" borderId="13" xfId="28" applyFont="1" applyBorder="1" applyAlignment="1" applyProtection="1">
      <alignment horizontal="left"/>
      <protection hidden="1"/>
    </xf>
    <xf numFmtId="44" fontId="4" fillId="0" borderId="13" xfId="28" applyFont="1" applyBorder="1" applyAlignment="1" applyProtection="1">
      <alignment horizontal="left"/>
      <protection hidden="1"/>
    </xf>
    <xf numFmtId="0" fontId="2" fillId="0" borderId="15" xfId="0" applyFont="1" applyBorder="1" applyAlignment="1" applyProtection="1">
      <alignment horizontal="center"/>
      <protection hidden="1"/>
    </xf>
    <xf numFmtId="0" fontId="0" fillId="0" borderId="13" xfId="0" applyBorder="1" applyProtection="1">
      <protection hidden="1"/>
    </xf>
    <xf numFmtId="0" fontId="4" fillId="0" borderId="13" xfId="0" applyFont="1" applyBorder="1" applyAlignment="1" applyProtection="1">
      <alignment horizontal="center"/>
      <protection hidden="1"/>
    </xf>
    <xf numFmtId="0" fontId="4" fillId="0" borderId="15" xfId="0" applyFont="1" applyBorder="1" applyProtection="1">
      <protection hidden="1"/>
    </xf>
    <xf numFmtId="0" fontId="2" fillId="0" borderId="15" xfId="0" applyFont="1" applyBorder="1" applyProtection="1">
      <protection hidden="1"/>
    </xf>
    <xf numFmtId="44" fontId="6" fillId="0" borderId="13" xfId="28" applyFont="1" applyBorder="1" applyAlignment="1" applyProtection="1">
      <alignment horizontal="left"/>
      <protection hidden="1"/>
    </xf>
    <xf numFmtId="0" fontId="8" fillId="0" borderId="16" xfId="0" applyFont="1" applyBorder="1" applyAlignment="1" applyProtection="1">
      <alignment horizontal="right"/>
      <protection hidden="1"/>
    </xf>
    <xf numFmtId="0" fontId="8" fillId="0" borderId="16" xfId="0" applyFont="1" applyBorder="1" applyProtection="1">
      <protection hidden="1"/>
    </xf>
    <xf numFmtId="44" fontId="7" fillId="0" borderId="11" xfId="28" applyFont="1" applyBorder="1" applyAlignment="1" applyProtection="1">
      <alignment horizontal="left"/>
      <protection hidden="1"/>
    </xf>
    <xf numFmtId="0" fontId="2" fillId="0" borderId="13" xfId="0" applyFont="1" applyBorder="1" applyProtection="1">
      <protection hidden="1"/>
    </xf>
    <xf numFmtId="44" fontId="8" fillId="0" borderId="11" xfId="28" applyFont="1" applyBorder="1" applyAlignment="1" applyProtection="1">
      <alignment horizontal="left"/>
      <protection hidden="1"/>
    </xf>
    <xf numFmtId="0" fontId="2" fillId="0" borderId="0" xfId="0" applyFont="1" applyAlignment="1" applyProtection="1">
      <alignment horizontal="right"/>
      <protection hidden="1"/>
    </xf>
    <xf numFmtId="10" fontId="2" fillId="0" borderId="0" xfId="41" applyNumberFormat="1" applyFont="1" applyAlignment="1" applyProtection="1">
      <alignment horizontal="left"/>
      <protection hidden="1"/>
    </xf>
    <xf numFmtId="0" fontId="10" fillId="0" borderId="10" xfId="0" applyFont="1" applyBorder="1" applyAlignment="1" applyProtection="1">
      <alignment wrapText="1"/>
      <protection hidden="1"/>
    </xf>
    <xf numFmtId="0" fontId="9" fillId="0" borderId="10" xfId="0" applyFont="1" applyBorder="1" applyAlignment="1" applyProtection="1">
      <alignment horizontal="right" wrapText="1"/>
      <protection hidden="1"/>
    </xf>
    <xf numFmtId="0" fontId="9" fillId="0" borderId="10" xfId="0" applyFont="1" applyBorder="1" applyAlignment="1" applyProtection="1">
      <alignment horizontal="center" wrapText="1"/>
      <protection hidden="1"/>
    </xf>
    <xf numFmtId="0" fontId="4" fillId="0" borderId="10" xfId="0" applyFont="1" applyBorder="1" applyAlignment="1" applyProtection="1">
      <alignment horizontal="center"/>
      <protection hidden="1"/>
    </xf>
    <xf numFmtId="44" fontId="4" fillId="0" borderId="10" xfId="28" applyFont="1" applyBorder="1" applyAlignment="1" applyProtection="1">
      <alignment horizontal="left"/>
      <protection hidden="1"/>
    </xf>
    <xf numFmtId="0" fontId="19" fillId="0" borderId="0" xfId="0" applyFont="1" applyProtection="1">
      <protection hidden="1"/>
    </xf>
    <xf numFmtId="0" fontId="13" fillId="0" borderId="0" xfId="0" applyFont="1" applyAlignment="1" applyProtection="1">
      <alignment horizontal="center"/>
      <protection hidden="1"/>
    </xf>
    <xf numFmtId="0" fontId="13" fillId="0" borderId="0" xfId="0" applyFont="1" applyProtection="1">
      <protection hidden="1"/>
    </xf>
    <xf numFmtId="0" fontId="0" fillId="0" borderId="21" xfId="0" applyBorder="1" applyProtection="1">
      <protection hidden="1"/>
    </xf>
    <xf numFmtId="0" fontId="0" fillId="0" borderId="14" xfId="0" applyBorder="1" applyProtection="1">
      <protection hidden="1"/>
    </xf>
    <xf numFmtId="44" fontId="5" fillId="0" borderId="14" xfId="28" applyFont="1" applyBorder="1" applyAlignment="1" applyProtection="1">
      <alignment horizontal="left"/>
      <protection hidden="1"/>
    </xf>
    <xf numFmtId="44" fontId="7" fillId="0" borderId="16" xfId="28" applyFont="1" applyBorder="1" applyAlignment="1" applyProtection="1">
      <alignment horizontal="left"/>
      <protection hidden="1"/>
    </xf>
    <xf numFmtId="0" fontId="9" fillId="0" borderId="0" xfId="0" applyFont="1" applyProtection="1">
      <protection hidden="1"/>
    </xf>
    <xf numFmtId="7" fontId="2" fillId="0" borderId="0" xfId="28" applyNumberFormat="1" applyFont="1" applyAlignment="1" applyProtection="1">
      <alignment horizontal="left"/>
      <protection hidden="1"/>
    </xf>
    <xf numFmtId="44" fontId="2" fillId="0" borderId="13" xfId="28" applyFont="1" applyBorder="1" applyAlignment="1" applyProtection="1">
      <alignment horizontal="left"/>
      <protection hidden="1"/>
    </xf>
    <xf numFmtId="44" fontId="8" fillId="0" borderId="16" xfId="28" applyFont="1" applyBorder="1" applyAlignment="1" applyProtection="1">
      <alignment horizontal="left"/>
      <protection hidden="1"/>
    </xf>
    <xf numFmtId="44" fontId="0" fillId="0" borderId="14" xfId="28" applyFont="1" applyBorder="1" applyAlignment="1" applyProtection="1">
      <alignment horizontal="left"/>
      <protection hidden="1"/>
    </xf>
    <xf numFmtId="0" fontId="3" fillId="0" borderId="0" xfId="0" applyFont="1" applyAlignment="1" applyProtection="1">
      <alignment horizontal="right"/>
      <protection hidden="1"/>
    </xf>
    <xf numFmtId="0" fontId="46" fillId="0" borderId="0" xfId="35" applyFont="1" applyAlignment="1" applyProtection="1">
      <protection hidden="1"/>
    </xf>
    <xf numFmtId="0" fontId="43" fillId="0" borderId="0" xfId="35" applyFont="1" applyAlignment="1" applyProtection="1">
      <protection hidden="1"/>
    </xf>
    <xf numFmtId="0" fontId="43" fillId="0" borderId="0" xfId="0" applyFont="1" applyProtection="1">
      <protection hidden="1"/>
    </xf>
    <xf numFmtId="0" fontId="11" fillId="0" borderId="0" xfId="35" applyBorder="1" applyAlignment="1" applyProtection="1">
      <alignment horizontal="center"/>
      <protection hidden="1"/>
    </xf>
    <xf numFmtId="0" fontId="0" fillId="0" borderId="10" xfId="0" applyBorder="1" applyAlignment="1">
      <alignment horizontal="center"/>
    </xf>
    <xf numFmtId="44" fontId="2" fillId="0" borderId="15" xfId="28" applyFont="1" applyBorder="1" applyAlignment="1" applyProtection="1">
      <alignment horizontal="left"/>
      <protection hidden="1"/>
    </xf>
    <xf numFmtId="10" fontId="0" fillId="27" borderId="20" xfId="0" applyNumberFormat="1" applyFill="1" applyBorder="1" applyAlignment="1">
      <alignment horizontal="center" vertical="center" wrapText="1"/>
    </xf>
    <xf numFmtId="0" fontId="65" fillId="27" borderId="0" xfId="0" applyFont="1" applyFill="1" applyAlignment="1">
      <alignment horizontal="center" vertical="center"/>
    </xf>
    <xf numFmtId="164" fontId="0" fillId="0" borderId="0" xfId="0" applyNumberFormat="1" applyAlignment="1" applyProtection="1">
      <alignment horizontal="left"/>
      <protection hidden="1"/>
    </xf>
    <xf numFmtId="0" fontId="66" fillId="0" borderId="0" xfId="0" applyFont="1" applyProtection="1">
      <protection hidden="1"/>
    </xf>
    <xf numFmtId="0" fontId="42" fillId="0" borderId="0" xfId="35" quotePrefix="1" applyFont="1" applyAlignment="1" applyProtection="1">
      <alignment horizontal="center" vertical="center"/>
      <protection hidden="1"/>
    </xf>
    <xf numFmtId="0" fontId="61" fillId="0" borderId="0" xfId="35" applyFont="1" applyFill="1" applyAlignment="1" applyProtection="1">
      <alignment horizontal="center" vertical="center"/>
      <protection hidden="1"/>
    </xf>
    <xf numFmtId="0" fontId="56" fillId="0" borderId="0" xfId="0" applyFont="1" applyAlignment="1" applyProtection="1">
      <alignment horizontal="left" vertical="center" wrapText="1"/>
      <protection hidden="1"/>
    </xf>
    <xf numFmtId="0" fontId="57" fillId="0" borderId="0" xfId="0" applyFont="1" applyAlignment="1" applyProtection="1">
      <alignment horizontal="center" vertical="center"/>
      <protection hidden="1"/>
    </xf>
    <xf numFmtId="0" fontId="57" fillId="0" borderId="0" xfId="0" applyFont="1" applyAlignment="1" applyProtection="1">
      <alignment horizontal="center" vertical="center" wrapText="1"/>
      <protection hidden="1"/>
    </xf>
    <xf numFmtId="0" fontId="54" fillId="0" borderId="0" xfId="0" applyFont="1" applyAlignment="1" applyProtection="1">
      <alignment horizontal="center" vertical="center" wrapText="1"/>
      <protection hidden="1"/>
    </xf>
    <xf numFmtId="0" fontId="56" fillId="0" borderId="0" xfId="0" applyFont="1" applyAlignment="1" applyProtection="1">
      <alignment vertical="center" wrapText="1"/>
      <protection hidden="1"/>
    </xf>
    <xf numFmtId="0" fontId="48" fillId="0" borderId="0" xfId="0" applyFont="1" applyAlignment="1" applyProtection="1">
      <alignment horizontal="center" vertical="center"/>
      <protection hidden="1"/>
    </xf>
    <xf numFmtId="0" fontId="51" fillId="25" borderId="0" xfId="0" applyFont="1" applyFill="1" applyAlignment="1" applyProtection="1">
      <alignment horizontal="center" vertical="center"/>
      <protection locked="0" hidden="1"/>
    </xf>
    <xf numFmtId="0" fontId="56"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56" fillId="0" borderId="0" xfId="0" applyFont="1" applyAlignment="1" applyProtection="1">
      <alignment vertical="center"/>
      <protection hidden="1"/>
    </xf>
    <xf numFmtId="0" fontId="61" fillId="0" borderId="0" xfId="35" applyFont="1" applyAlignment="1" applyProtection="1">
      <alignment horizontal="center" vertical="center"/>
      <protection hidden="1"/>
    </xf>
    <xf numFmtId="0" fontId="56" fillId="0" borderId="0" xfId="0" applyFont="1" applyAlignment="1" applyProtection="1">
      <alignment horizontal="center" vertical="center"/>
      <protection hidden="1"/>
    </xf>
    <xf numFmtId="0" fontId="62" fillId="0" borderId="0" xfId="0" applyFont="1" applyAlignment="1">
      <alignment horizontal="center" vertical="center"/>
    </xf>
    <xf numFmtId="0" fontId="63" fillId="0" borderId="0" xfId="35" applyFont="1" applyAlignment="1" applyProtection="1">
      <alignment horizontal="left" vertical="center"/>
      <protection hidden="1"/>
    </xf>
    <xf numFmtId="0" fontId="55" fillId="0" borderId="0" xfId="0" applyFont="1" applyAlignment="1" applyProtection="1">
      <alignment vertical="center" wrapText="1"/>
      <protection hidden="1"/>
    </xf>
    <xf numFmtId="0" fontId="57" fillId="0" borderId="0" xfId="0" applyFont="1" applyAlignment="1" applyProtection="1">
      <alignment horizontal="left" vertical="center" wrapText="1"/>
      <protection hidden="1"/>
    </xf>
    <xf numFmtId="0" fontId="53" fillId="0" borderId="0" xfId="0" applyFont="1" applyAlignment="1" applyProtection="1">
      <alignment vertical="center" wrapText="1"/>
      <protection hidden="1"/>
    </xf>
    <xf numFmtId="0" fontId="55" fillId="0" borderId="0" xfId="0" applyFont="1" applyAlignment="1" applyProtection="1">
      <alignment horizontal="left" vertical="center"/>
      <protection hidden="1"/>
    </xf>
    <xf numFmtId="0" fontId="53" fillId="0" borderId="0" xfId="0" applyFont="1" applyAlignment="1" applyProtection="1">
      <alignment horizontal="left" vertical="center" wrapText="1"/>
      <protection hidden="1"/>
    </xf>
    <xf numFmtId="0" fontId="59" fillId="0" borderId="0" xfId="0" applyFont="1" applyAlignment="1" applyProtection="1">
      <alignment horizontal="center" vertical="center" wrapText="1"/>
      <protection hidden="1"/>
    </xf>
    <xf numFmtId="0" fontId="64" fillId="0" borderId="0" xfId="35" applyFont="1" applyAlignment="1" applyProtection="1">
      <alignment horizontal="center" vertical="top"/>
      <protection hidden="1"/>
    </xf>
    <xf numFmtId="0" fontId="4" fillId="0" borderId="15" xfId="0" applyFont="1" applyBorder="1" applyAlignment="1">
      <alignment horizontal="center" wrapText="1"/>
    </xf>
    <xf numFmtId="0" fontId="4" fillId="0" borderId="0" xfId="0" applyFont="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2" fillId="0" borderId="21" xfId="0" applyFont="1" applyBorder="1" applyAlignment="1">
      <alignment horizontal="center"/>
    </xf>
    <xf numFmtId="0" fontId="39" fillId="0" borderId="0" xfId="0" applyFont="1" applyAlignment="1" applyProtection="1">
      <alignment horizontal="center"/>
      <protection hidden="1"/>
    </xf>
    <xf numFmtId="0" fontId="2" fillId="0" borderId="0" xfId="0" applyFont="1" applyAlignment="1" applyProtection="1">
      <alignment horizontal="center"/>
      <protection hidden="1"/>
    </xf>
    <xf numFmtId="0" fontId="15" fillId="0" borderId="0" xfId="0" applyFont="1" applyAlignment="1" applyProtection="1">
      <alignment horizontal="center"/>
      <protection hidden="1"/>
    </xf>
    <xf numFmtId="0" fontId="40" fillId="0" borderId="0" xfId="0" applyFont="1" applyAlignment="1" applyProtection="1">
      <alignment horizontal="center"/>
      <protection hidden="1"/>
    </xf>
    <xf numFmtId="0" fontId="14" fillId="0" borderId="0" xfId="0" applyFont="1" applyAlignment="1" applyProtection="1">
      <alignment horizontal="center"/>
      <protection hidden="1"/>
    </xf>
    <xf numFmtId="0" fontId="11" fillId="0" borderId="0" xfId="35" applyAlignment="1" applyProtection="1">
      <alignment horizontal="center"/>
      <protection hidden="1"/>
    </xf>
    <xf numFmtId="0" fontId="4" fillId="0" borderId="0" xfId="0" applyFont="1" applyAlignment="1" applyProtection="1">
      <alignment horizontal="left" wrapText="1"/>
      <protection hidden="1"/>
    </xf>
    <xf numFmtId="0" fontId="2" fillId="0" borderId="0" xfId="0" applyFont="1" applyAlignment="1" applyProtection="1">
      <alignment horizontal="left" wrapText="1"/>
      <protection hidden="1"/>
    </xf>
    <xf numFmtId="9" fontId="4" fillId="0" borderId="10" xfId="41" applyFont="1" applyBorder="1" applyAlignment="1" applyProtection="1">
      <alignment horizontal="center" wrapText="1"/>
      <protection hidden="1"/>
    </xf>
    <xf numFmtId="9" fontId="4" fillId="0" borderId="10" xfId="41" applyFont="1" applyBorder="1" applyProtection="1">
      <protection hidden="1"/>
    </xf>
    <xf numFmtId="0" fontId="13" fillId="0" borderId="0" xfId="0" applyFont="1" applyAlignment="1" applyProtection="1">
      <alignment horizontal="center"/>
      <protection hidden="1"/>
    </xf>
    <xf numFmtId="0" fontId="11" fillId="0" borderId="0" xfId="35" applyBorder="1" applyAlignment="1" applyProtection="1">
      <alignment horizontal="center"/>
      <protection hidden="1"/>
    </xf>
    <xf numFmtId="0" fontId="19" fillId="0" borderId="0" xfId="0" applyFont="1" applyAlignment="1" applyProtection="1">
      <alignment horizontal="center"/>
      <protection hidden="1"/>
    </xf>
    <xf numFmtId="0" fontId="16" fillId="0" borderId="0" xfId="0" applyFont="1" applyAlignment="1" applyProtection="1">
      <alignment horizontal="center"/>
      <protection hidden="1"/>
    </xf>
    <xf numFmtId="0" fontId="11" fillId="0" borderId="21" xfId="35" applyBorder="1" applyAlignment="1" applyProtection="1">
      <alignment horizontal="center"/>
      <protection hidden="1"/>
    </xf>
    <xf numFmtId="0" fontId="67" fillId="0" borderId="0" xfId="35" applyFont="1" applyAlignment="1" applyProtection="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opm.gov/policy-data-oversight/pay-leave/pay-systems/nonforeign-areas/" TargetMode="External"/><Relationship Id="rId7" Type="http://schemas.openxmlformats.org/officeDocument/2006/relationships/printerSettings" Target="../printerSettings/printerSettings1.bin"/><Relationship Id="rId2" Type="http://schemas.openxmlformats.org/officeDocument/2006/relationships/hyperlink" Target="https://www.opm.gov/policy-data-oversight/pay-leave/salaries-wages/pay-executive-order-2023-adjustments-of-certain-rates-of-pay.pdf" TargetMode="External"/><Relationship Id="rId1" Type="http://schemas.openxmlformats.org/officeDocument/2006/relationships/hyperlink" Target="http://www.opm.gov/policy-data-oversight/pay-leave/pay-systems/nonforeign-areas/" TargetMode="External"/><Relationship Id="rId6" Type="http://schemas.openxmlformats.org/officeDocument/2006/relationships/hyperlink" Target="mailto:admin@fedfirepay.com" TargetMode="External"/><Relationship Id="rId5" Type="http://schemas.openxmlformats.org/officeDocument/2006/relationships/hyperlink" Target="mailto:admin@fedfirepay.net" TargetMode="External"/><Relationship Id="rId10" Type="http://schemas.openxmlformats.org/officeDocument/2006/relationships/comments" Target="../comments1.xml"/><Relationship Id="rId4" Type="http://schemas.openxmlformats.org/officeDocument/2006/relationships/hyperlink" Target="https://www.fedfirepay.com/" TargetMode="External"/><Relationship Id="rId9"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5"/>
  <sheetViews>
    <sheetView showGridLines="0" tabSelected="1" topLeftCell="A3" zoomScaleNormal="100" workbookViewId="0">
      <selection activeCell="G2" sqref="G2"/>
    </sheetView>
  </sheetViews>
  <sheetFormatPr defaultColWidth="9.109375" defaultRowHeight="13.2" x14ac:dyDescent="0.25"/>
  <cols>
    <col min="1" max="12" width="9.109375" style="39"/>
    <col min="13" max="13" width="10.5546875" style="39" customWidth="1"/>
    <col min="14" max="16384" width="9.109375" style="39"/>
  </cols>
  <sheetData>
    <row r="1" spans="1:15" ht="0.15" customHeight="1" x14ac:dyDescent="0.25">
      <c r="A1" s="40"/>
      <c r="B1" s="40"/>
      <c r="C1" s="40"/>
      <c r="D1" s="40"/>
      <c r="E1" s="40"/>
      <c r="F1" s="40"/>
      <c r="G1" s="40"/>
      <c r="H1" s="40"/>
      <c r="I1" s="40"/>
      <c r="J1" s="40"/>
      <c r="K1" s="40"/>
      <c r="L1" s="40"/>
      <c r="M1" s="40"/>
    </row>
    <row r="2" spans="1:15" ht="0.15" customHeight="1" x14ac:dyDescent="0.25">
      <c r="A2" s="40"/>
      <c r="B2" s="40"/>
      <c r="C2" s="40"/>
      <c r="D2" s="40"/>
      <c r="E2" s="40"/>
      <c r="F2" s="40"/>
      <c r="G2" s="40"/>
      <c r="H2" s="40"/>
      <c r="I2" s="40"/>
      <c r="J2" s="40"/>
      <c r="K2" s="40"/>
      <c r="L2" s="40"/>
      <c r="M2" s="40"/>
    </row>
    <row r="3" spans="1:15" ht="20.100000000000001" customHeight="1" x14ac:dyDescent="0.25">
      <c r="A3" s="40"/>
      <c r="B3" s="40"/>
      <c r="C3" s="40"/>
      <c r="D3" s="40"/>
      <c r="E3" s="40"/>
      <c r="F3" s="40"/>
      <c r="G3" s="40"/>
      <c r="H3" s="40"/>
      <c r="I3" s="40"/>
      <c r="J3" s="40"/>
      <c r="K3" s="40"/>
      <c r="L3" s="40"/>
      <c r="M3" s="40"/>
    </row>
    <row r="4" spans="1:15" ht="100.05" customHeight="1" x14ac:dyDescent="0.25">
      <c r="A4" s="159" t="s">
        <v>182</v>
      </c>
      <c r="B4" s="159"/>
      <c r="C4" s="159"/>
      <c r="D4" s="159"/>
      <c r="E4" s="159"/>
      <c r="F4" s="159"/>
      <c r="G4" s="159"/>
      <c r="H4" s="159"/>
      <c r="I4" s="159"/>
      <c r="J4" s="159"/>
      <c r="K4" s="159"/>
      <c r="L4" s="159"/>
      <c r="M4" s="159"/>
    </row>
    <row r="5" spans="1:15" s="137" customFormat="1" ht="20.100000000000001" customHeight="1" x14ac:dyDescent="0.25">
      <c r="A5" s="135"/>
      <c r="B5" s="135"/>
      <c r="C5" s="135"/>
      <c r="D5" s="135"/>
      <c r="E5" s="167" t="s">
        <v>184</v>
      </c>
      <c r="F5" s="167"/>
      <c r="G5" s="167"/>
      <c r="H5" s="167"/>
      <c r="I5" s="167"/>
      <c r="J5" s="135"/>
      <c r="K5" s="136"/>
      <c r="L5" s="135"/>
      <c r="M5" s="135"/>
    </row>
    <row r="6" spans="1:15" s="42" customFormat="1" ht="30" x14ac:dyDescent="0.25">
      <c r="A6" s="152" t="str">
        <f>'GS Pay Calculator'!B2&amp;" Federal Firefighter Pay Program"</f>
        <v>2023 Federal Firefighter Pay Program</v>
      </c>
      <c r="B6" s="152"/>
      <c r="C6" s="152"/>
      <c r="D6" s="152"/>
      <c r="E6" s="152"/>
      <c r="F6" s="152"/>
      <c r="G6" s="152"/>
      <c r="H6" s="152"/>
      <c r="I6" s="152"/>
      <c r="J6" s="152"/>
      <c r="K6" s="152"/>
      <c r="L6" s="152"/>
      <c r="M6" s="152"/>
      <c r="N6" s="41"/>
      <c r="O6" s="41"/>
    </row>
    <row r="7" spans="1:15" s="43" customFormat="1" ht="20.100000000000001" customHeight="1" x14ac:dyDescent="0.25"/>
    <row r="8" spans="1:15" s="44" customFormat="1" ht="16.5" customHeight="1" x14ac:dyDescent="0.25">
      <c r="C8" s="146" t="s">
        <v>84</v>
      </c>
      <c r="D8" s="146"/>
      <c r="E8" s="146"/>
      <c r="F8" s="146"/>
      <c r="G8" s="45"/>
      <c r="H8" s="146" t="s">
        <v>87</v>
      </c>
      <c r="I8" s="146"/>
      <c r="J8" s="146"/>
      <c r="K8" s="146"/>
      <c r="L8" s="46"/>
    </row>
    <row r="9" spans="1:15" s="43" customFormat="1" x14ac:dyDescent="0.25"/>
    <row r="10" spans="1:15" s="43" customFormat="1" ht="62.1" customHeight="1" x14ac:dyDescent="0.25">
      <c r="A10" s="163" t="str">
        <f>"This program is currently set-up for the year "&amp;$C$48&amp;" and covers the "&amp;C30&amp;" locality / COLA area.  It is designed to easily convert to any other locality/COLA, and can estimate annual raises.  The file works with all firefighter schedules covered under the 1998 Pay Reform Act.  The current schedules are "&amp;D16&amp;" hours for shift firefighters and "&amp;D18&amp;" hours for firefighters with an embedded 40 hour workweek."</f>
        <v>This program is currently set-up for the year 2023 and covers the Rest of the United States locality / COLA area.  It is designed to easily convert to any other locality/COLA, and can estimate annual raises.  The file works with all firefighter schedules covered under the 1998 Pay Reform Act.  The current schedules are 72 hours for shift firefighters and 60 hours for firefighters with an embedded 40 hour workweek.</v>
      </c>
      <c r="B10" s="163"/>
      <c r="C10" s="163"/>
      <c r="D10" s="163"/>
      <c r="E10" s="163"/>
      <c r="F10" s="163"/>
      <c r="G10" s="163"/>
      <c r="H10" s="163"/>
      <c r="I10" s="163"/>
      <c r="J10" s="163"/>
      <c r="K10" s="163"/>
      <c r="L10" s="163"/>
      <c r="M10" s="163"/>
    </row>
    <row r="11" spans="1:15" s="43" customFormat="1" ht="12.75" customHeight="1" x14ac:dyDescent="0.25">
      <c r="A11" s="47"/>
      <c r="B11" s="47"/>
      <c r="C11" s="47"/>
      <c r="D11" s="47"/>
      <c r="E11" s="47"/>
      <c r="F11" s="47"/>
      <c r="G11" s="47"/>
      <c r="H11" s="47"/>
      <c r="I11" s="47"/>
      <c r="J11" s="47"/>
      <c r="K11" s="47"/>
    </row>
    <row r="12" spans="1:15" s="43" customFormat="1" ht="15.9" customHeight="1" x14ac:dyDescent="0.25">
      <c r="A12" s="150" t="s">
        <v>165</v>
      </c>
      <c r="B12" s="150"/>
      <c r="C12" s="150"/>
      <c r="D12" s="150"/>
      <c r="E12" s="150"/>
      <c r="F12" s="150"/>
      <c r="G12" s="150"/>
      <c r="H12" s="150"/>
      <c r="I12" s="150"/>
      <c r="J12" s="150"/>
      <c r="K12" s="150"/>
      <c r="L12" s="150"/>
      <c r="M12" s="150"/>
    </row>
    <row r="13" spans="1:15" s="43" customFormat="1" ht="12.75" customHeight="1" x14ac:dyDescent="0.25">
      <c r="A13" s="48"/>
      <c r="B13" s="48"/>
      <c r="C13" s="48"/>
      <c r="D13" s="48"/>
      <c r="E13" s="48"/>
      <c r="F13" s="48"/>
      <c r="G13" s="48"/>
      <c r="H13" s="48"/>
      <c r="I13" s="48"/>
      <c r="J13" s="48"/>
      <c r="K13" s="48"/>
      <c r="L13" s="47"/>
      <c r="M13" s="47"/>
    </row>
    <row r="14" spans="1:15" s="49" customFormat="1" ht="77.099999999999994" customHeight="1" x14ac:dyDescent="0.25">
      <c r="A14" s="151" t="s">
        <v>178</v>
      </c>
      <c r="B14" s="151"/>
      <c r="C14" s="151"/>
      <c r="D14" s="151"/>
      <c r="E14" s="151"/>
      <c r="F14" s="151"/>
      <c r="G14" s="151"/>
      <c r="H14" s="151"/>
      <c r="I14" s="151"/>
      <c r="J14" s="151"/>
      <c r="K14" s="151"/>
      <c r="L14" s="151"/>
      <c r="M14" s="151"/>
    </row>
    <row r="15" spans="1:15" s="43" customFormat="1" x14ac:dyDescent="0.25">
      <c r="H15" s="50"/>
    </row>
    <row r="16" spans="1:15" s="43" customFormat="1" ht="15.9" customHeight="1" x14ac:dyDescent="0.25">
      <c r="A16" s="51" t="s">
        <v>36</v>
      </c>
      <c r="B16" s="51"/>
      <c r="D16" s="52">
        <v>72</v>
      </c>
      <c r="G16" s="53"/>
      <c r="J16" s="54"/>
    </row>
    <row r="17" spans="1:14" s="43" customFormat="1" x14ac:dyDescent="0.25"/>
    <row r="18" spans="1:14" s="43" customFormat="1" ht="15.9" customHeight="1" x14ac:dyDescent="0.25">
      <c r="A18" s="51" t="s">
        <v>179</v>
      </c>
      <c r="B18" s="51"/>
      <c r="D18" s="52">
        <v>60</v>
      </c>
      <c r="G18" s="53"/>
      <c r="J18" s="54"/>
    </row>
    <row r="19" spans="1:14" s="43" customFormat="1" x14ac:dyDescent="0.25">
      <c r="C19" s="55"/>
      <c r="F19" s="53"/>
      <c r="I19" s="54"/>
    </row>
    <row r="20" spans="1:14" s="43" customFormat="1" ht="45.9" customHeight="1" x14ac:dyDescent="0.25">
      <c r="A20" s="151" t="s">
        <v>166</v>
      </c>
      <c r="B20" s="151"/>
      <c r="C20" s="151"/>
      <c r="D20" s="151"/>
      <c r="E20" s="151"/>
      <c r="F20" s="151"/>
      <c r="G20" s="151"/>
      <c r="H20" s="151"/>
      <c r="I20" s="151"/>
      <c r="J20" s="151"/>
      <c r="K20" s="151"/>
      <c r="L20" s="151"/>
      <c r="M20" s="151"/>
    </row>
    <row r="21" spans="1:14" s="43" customFormat="1" x14ac:dyDescent="0.25">
      <c r="A21" s="44"/>
    </row>
    <row r="22" spans="1:14" s="43" customFormat="1" ht="45.9" customHeight="1" x14ac:dyDescent="0.25">
      <c r="A22" s="161" t="s">
        <v>167</v>
      </c>
      <c r="B22" s="161"/>
      <c r="C22" s="161"/>
      <c r="D22" s="161"/>
      <c r="E22" s="161"/>
      <c r="F22" s="161"/>
      <c r="G22" s="161"/>
      <c r="H22" s="161"/>
      <c r="I22" s="161"/>
      <c r="J22" s="161"/>
      <c r="K22" s="161"/>
      <c r="L22" s="161"/>
      <c r="M22" s="161"/>
    </row>
    <row r="23" spans="1:14" s="43" customFormat="1" x14ac:dyDescent="0.25"/>
    <row r="24" spans="1:14" s="43" customFormat="1" ht="15.9" customHeight="1" x14ac:dyDescent="0.25">
      <c r="A24" s="164" t="s">
        <v>88</v>
      </c>
      <c r="B24" s="164"/>
      <c r="C24" s="164"/>
      <c r="D24" s="164"/>
      <c r="E24" s="52" t="s">
        <v>90</v>
      </c>
    </row>
    <row r="25" spans="1:14" s="43" customFormat="1" x14ac:dyDescent="0.25"/>
    <row r="26" spans="1:14" s="43" customFormat="1" ht="45.9" customHeight="1" x14ac:dyDescent="0.25">
      <c r="A26" s="151" t="s">
        <v>168</v>
      </c>
      <c r="B26" s="151"/>
      <c r="C26" s="151"/>
      <c r="D26" s="151"/>
      <c r="E26" s="151"/>
      <c r="F26" s="151"/>
      <c r="G26" s="151"/>
      <c r="H26" s="151"/>
      <c r="I26" s="151"/>
      <c r="J26" s="151"/>
      <c r="K26" s="151"/>
      <c r="L26" s="151"/>
      <c r="M26" s="151"/>
    </row>
    <row r="27" spans="1:14" s="43" customFormat="1" x14ac:dyDescent="0.25"/>
    <row r="28" spans="1:14" s="43" customFormat="1" ht="16.5" customHeight="1" x14ac:dyDescent="0.25">
      <c r="A28" s="162" t="s">
        <v>189</v>
      </c>
      <c r="B28" s="162"/>
      <c r="C28" s="162"/>
      <c r="D28" s="162"/>
      <c r="E28" s="162"/>
      <c r="F28" s="162"/>
      <c r="G28" s="162"/>
      <c r="H28" s="162"/>
      <c r="I28" s="189" t="s">
        <v>163</v>
      </c>
      <c r="J28" s="189"/>
      <c r="K28" s="189"/>
      <c r="L28" s="157" t="s">
        <v>173</v>
      </c>
      <c r="M28" s="157"/>
    </row>
    <row r="29" spans="1:14" s="43" customFormat="1" x14ac:dyDescent="0.25">
      <c r="C29" s="55"/>
    </row>
    <row r="30" spans="1:14" s="43" customFormat="1" ht="15.9" customHeight="1" x14ac:dyDescent="0.25">
      <c r="A30" s="51" t="s">
        <v>169</v>
      </c>
      <c r="C30" s="153" t="s">
        <v>77</v>
      </c>
      <c r="D30" s="153"/>
      <c r="E30" s="153"/>
      <c r="F30" s="153"/>
      <c r="G30" s="153"/>
      <c r="H30" s="154" t="s">
        <v>62</v>
      </c>
      <c r="I30" s="154"/>
      <c r="J30" s="154"/>
      <c r="K30" s="154"/>
      <c r="L30" s="155"/>
      <c r="M30" s="155"/>
    </row>
    <row r="31" spans="1:14" s="43" customFormat="1" x14ac:dyDescent="0.25">
      <c r="C31" s="56"/>
      <c r="D31" s="44"/>
      <c r="E31" s="44"/>
    </row>
    <row r="32" spans="1:14" s="43" customFormat="1" ht="15.9" customHeight="1" x14ac:dyDescent="0.25">
      <c r="A32" s="156" t="s">
        <v>78</v>
      </c>
      <c r="B32" s="156"/>
      <c r="C32" s="57">
        <f>IF(C36="",VLOOKUP(C30,'Locality Rates'!A2:B65,2,FALSE),C36)</f>
        <v>0.16500000000000001</v>
      </c>
      <c r="D32" s="158" t="s">
        <v>93</v>
      </c>
      <c r="E32" s="158"/>
      <c r="F32" s="158"/>
      <c r="G32" s="57">
        <f>IF(G36="",IF(E24="Yes",VLOOKUP(C30,'Locality Rates'!A2:C65,3,FALSE),VLOOKUP(C30,'Locality Rates'!A2:F65,5,FALSE)),G36)</f>
        <v>0</v>
      </c>
      <c r="H32" s="154" t="s">
        <v>79</v>
      </c>
      <c r="I32" s="154"/>
      <c r="J32" s="154"/>
      <c r="K32" s="154"/>
      <c r="L32" s="154"/>
      <c r="M32" s="154"/>
      <c r="N32" s="154"/>
    </row>
    <row r="33" spans="1:14" s="43" customFormat="1" x14ac:dyDescent="0.25">
      <c r="C33" s="58"/>
      <c r="D33" s="37"/>
      <c r="E33" s="37"/>
      <c r="F33" s="58"/>
      <c r="G33" s="59"/>
      <c r="H33" s="60"/>
      <c r="I33" s="44"/>
    </row>
    <row r="34" spans="1:14" s="43" customFormat="1" ht="15.9" customHeight="1" x14ac:dyDescent="0.25">
      <c r="A34" s="149" t="s">
        <v>174</v>
      </c>
      <c r="B34" s="149"/>
      <c r="C34" s="149"/>
      <c r="D34" s="149"/>
      <c r="E34" s="149"/>
      <c r="F34" s="149"/>
      <c r="G34" s="149"/>
      <c r="H34" s="149"/>
      <c r="I34" s="149"/>
      <c r="J34" s="149"/>
      <c r="K34" s="149"/>
      <c r="L34" s="149"/>
      <c r="M34" s="149"/>
    </row>
    <row r="35" spans="1:14" s="43" customFormat="1" x14ac:dyDescent="0.25">
      <c r="C35" s="58"/>
      <c r="D35" s="37"/>
      <c r="E35" s="37"/>
      <c r="F35" s="58"/>
      <c r="G35" s="59"/>
      <c r="H35" s="60"/>
      <c r="I35" s="44"/>
    </row>
    <row r="36" spans="1:14" s="43" customFormat="1" ht="15.9" customHeight="1" x14ac:dyDescent="0.25">
      <c r="A36" s="156" t="s">
        <v>78</v>
      </c>
      <c r="B36" s="156"/>
      <c r="C36" s="61"/>
      <c r="D36" s="158" t="s">
        <v>93</v>
      </c>
      <c r="E36" s="158"/>
      <c r="F36" s="158"/>
      <c r="G36" s="61"/>
      <c r="H36" s="166" t="s">
        <v>80</v>
      </c>
      <c r="I36" s="166"/>
      <c r="J36" s="166"/>
      <c r="K36" s="166"/>
      <c r="L36" s="166"/>
      <c r="M36" s="166"/>
      <c r="N36" s="166"/>
    </row>
    <row r="37" spans="1:14" s="43" customFormat="1" x14ac:dyDescent="0.25">
      <c r="C37" s="62"/>
      <c r="D37" s="53"/>
    </row>
    <row r="38" spans="1:14" s="43" customFormat="1" ht="45.9" customHeight="1" x14ac:dyDescent="0.25">
      <c r="A38" s="147" t="s">
        <v>170</v>
      </c>
      <c r="B38" s="147"/>
      <c r="C38" s="147"/>
      <c r="D38" s="147"/>
      <c r="E38" s="147"/>
      <c r="F38" s="147"/>
      <c r="G38" s="147"/>
      <c r="H38" s="147"/>
      <c r="I38" s="147"/>
      <c r="J38" s="147"/>
      <c r="K38" s="147"/>
      <c r="L38" s="147"/>
      <c r="M38" s="147"/>
    </row>
    <row r="39" spans="1:14" s="43" customFormat="1" ht="12.75" customHeight="1" x14ac:dyDescent="0.25">
      <c r="A39" s="63"/>
      <c r="B39" s="63"/>
      <c r="C39" s="63"/>
      <c r="D39" s="63"/>
      <c r="E39" s="63"/>
      <c r="F39" s="63"/>
      <c r="G39" s="63"/>
      <c r="H39" s="63"/>
      <c r="I39" s="63"/>
      <c r="J39" s="63"/>
      <c r="K39" s="63"/>
    </row>
    <row r="40" spans="1:14" s="44" customFormat="1" ht="30.9" customHeight="1" x14ac:dyDescent="0.25">
      <c r="A40" s="165" t="str">
        <f>"Enter the raise below for the appropriate year.  This file is initially set-up for the year "&amp;'GS Pay Calculator'!$B$2&amp;".  When raises are entered, the year indicated on the pay charts should match the year of the latest raise."</f>
        <v>Enter the raise below for the appropriate year.  This file is initially set-up for the year 2023.  When raises are entered, the year indicated on the pay charts should match the year of the latest raise.</v>
      </c>
      <c r="B40" s="165"/>
      <c r="C40" s="165"/>
      <c r="D40" s="165"/>
      <c r="E40" s="165"/>
      <c r="F40" s="165"/>
      <c r="G40" s="165"/>
      <c r="H40" s="165"/>
      <c r="I40" s="165"/>
      <c r="J40" s="165"/>
      <c r="K40" s="165"/>
      <c r="L40" s="165"/>
      <c r="M40" s="165"/>
    </row>
    <row r="41" spans="1:14" s="43" customFormat="1" x14ac:dyDescent="0.25">
      <c r="A41" s="64"/>
    </row>
    <row r="42" spans="1:14" s="43" customFormat="1" ht="15.6" x14ac:dyDescent="0.25">
      <c r="A42" s="64"/>
      <c r="I42" s="148" t="s">
        <v>72</v>
      </c>
      <c r="J42" s="148"/>
    </row>
    <row r="43" spans="1:14" s="43" customFormat="1" ht="15.9" customHeight="1" x14ac:dyDescent="0.25">
      <c r="A43" s="65" t="s">
        <v>34</v>
      </c>
      <c r="B43" s="65" t="s">
        <v>42</v>
      </c>
      <c r="C43" s="65" t="s">
        <v>34</v>
      </c>
      <c r="D43" s="65" t="s">
        <v>42</v>
      </c>
      <c r="G43" s="37"/>
      <c r="H43" s="66"/>
      <c r="I43" s="67" t="s">
        <v>34</v>
      </c>
      <c r="J43" s="67" t="s">
        <v>42</v>
      </c>
    </row>
    <row r="44" spans="1:14" s="43" customFormat="1" ht="15.9" customHeight="1" x14ac:dyDescent="0.25">
      <c r="A44" s="68">
        <f>'GS Pay Calculator'!B2+1</f>
        <v>2024</v>
      </c>
      <c r="B44" s="69">
        <v>0</v>
      </c>
      <c r="C44" s="68">
        <f>A44+1</f>
        <v>2025</v>
      </c>
      <c r="D44" s="69">
        <v>0</v>
      </c>
      <c r="F44" s="70"/>
      <c r="I44" s="71">
        <v>2008</v>
      </c>
      <c r="J44" s="72">
        <v>3.5</v>
      </c>
    </row>
    <row r="45" spans="1:14" s="43" customFormat="1" ht="15.9" customHeight="1" x14ac:dyDescent="0.25">
      <c r="A45" s="68">
        <f>A44+2</f>
        <v>2026</v>
      </c>
      <c r="B45" s="69">
        <v>0</v>
      </c>
      <c r="C45" s="68">
        <f>C44+2</f>
        <v>2027</v>
      </c>
      <c r="D45" s="69">
        <v>0</v>
      </c>
      <c r="F45" s="70"/>
      <c r="I45" s="71">
        <v>2009</v>
      </c>
      <c r="J45" s="72">
        <v>3.9</v>
      </c>
    </row>
    <row r="46" spans="1:14" s="43" customFormat="1" ht="15.9" customHeight="1" x14ac:dyDescent="0.25">
      <c r="A46" s="68">
        <f>A45+2</f>
        <v>2028</v>
      </c>
      <c r="B46" s="69">
        <v>0</v>
      </c>
      <c r="C46" s="68">
        <f>C45+2</f>
        <v>2029</v>
      </c>
      <c r="D46" s="69">
        <v>0</v>
      </c>
      <c r="F46" s="70"/>
      <c r="I46" s="71">
        <v>2010</v>
      </c>
      <c r="J46" s="72">
        <v>2</v>
      </c>
    </row>
    <row r="47" spans="1:14" s="43" customFormat="1" ht="15.9" customHeight="1" x14ac:dyDescent="0.25">
      <c r="A47" s="68">
        <f>A46+2</f>
        <v>2030</v>
      </c>
      <c r="B47" s="69">
        <v>0</v>
      </c>
      <c r="C47" s="68">
        <f>C46+2</f>
        <v>2031</v>
      </c>
      <c r="D47" s="69">
        <v>0</v>
      </c>
      <c r="F47" s="70"/>
      <c r="I47" s="71">
        <v>2011</v>
      </c>
      <c r="J47" s="72">
        <v>0</v>
      </c>
    </row>
    <row r="48" spans="1:14" s="43" customFormat="1" hidden="1" x14ac:dyDescent="0.25">
      <c r="A48" s="54" t="s">
        <v>65</v>
      </c>
      <c r="B48" s="73"/>
      <c r="C48" s="37">
        <f>IF(D47&gt;0,C47,IF(B47&gt;0,A47,IF(D46&gt;0,C46,IF(B46&gt;0,A46,IF(D45&gt;0,C45,IF(B45&gt;0,A45,IF(D44&gt;0,C44,IF(B44&gt;0,A44,'GS Pay Calculator'!B2))))))))</f>
        <v>2023</v>
      </c>
      <c r="D48" s="73"/>
      <c r="F48" s="70"/>
    </row>
    <row r="49" spans="1:13" s="43" customFormat="1" x14ac:dyDescent="0.25">
      <c r="A49" s="54"/>
      <c r="B49" s="73"/>
      <c r="C49" s="37"/>
      <c r="D49" s="73"/>
      <c r="F49" s="70"/>
    </row>
    <row r="50" spans="1:13" s="43" customFormat="1" ht="45.9" customHeight="1" x14ac:dyDescent="0.25">
      <c r="A50" s="147" t="s">
        <v>181</v>
      </c>
      <c r="B50" s="147"/>
      <c r="C50" s="147"/>
      <c r="D50" s="147"/>
      <c r="E50" s="147"/>
      <c r="F50" s="147"/>
      <c r="G50" s="147"/>
      <c r="H50" s="147"/>
      <c r="I50" s="147"/>
      <c r="J50" s="147"/>
      <c r="K50" s="147"/>
      <c r="L50" s="147"/>
      <c r="M50" s="147"/>
    </row>
    <row r="51" spans="1:13" s="43" customFormat="1" x14ac:dyDescent="0.25"/>
    <row r="52" spans="1:13" s="43" customFormat="1" ht="16.5" customHeight="1" x14ac:dyDescent="0.25">
      <c r="A52" s="145"/>
      <c r="B52" s="145"/>
      <c r="C52" s="145"/>
      <c r="E52" s="146" t="s">
        <v>110</v>
      </c>
      <c r="F52" s="146"/>
      <c r="G52" s="146"/>
      <c r="H52" s="146"/>
      <c r="I52" s="146"/>
    </row>
    <row r="53" spans="1:13" s="43" customFormat="1" x14ac:dyDescent="0.25"/>
    <row r="54" spans="1:13" s="43" customFormat="1" ht="60.9" customHeight="1" x14ac:dyDescent="0.25">
      <c r="A54" s="147" t="s">
        <v>171</v>
      </c>
      <c r="B54" s="147"/>
      <c r="C54" s="147"/>
      <c r="D54" s="147"/>
      <c r="E54" s="147"/>
      <c r="F54" s="147"/>
      <c r="G54" s="147"/>
      <c r="H54" s="147"/>
      <c r="I54" s="147"/>
      <c r="J54" s="147"/>
      <c r="K54" s="147"/>
      <c r="L54" s="147"/>
      <c r="M54" s="147"/>
    </row>
    <row r="55" spans="1:13" s="43" customFormat="1" x14ac:dyDescent="0.25">
      <c r="C55" s="55"/>
      <c r="E55" s="54"/>
    </row>
    <row r="56" spans="1:13" s="43" customFormat="1" ht="77.099999999999994" customHeight="1" x14ac:dyDescent="0.25">
      <c r="A56" s="147" t="s">
        <v>172</v>
      </c>
      <c r="B56" s="147"/>
      <c r="C56" s="147"/>
      <c r="D56" s="147"/>
      <c r="E56" s="147"/>
      <c r="F56" s="147"/>
      <c r="G56" s="147"/>
      <c r="H56" s="147"/>
      <c r="I56" s="147"/>
      <c r="J56" s="147"/>
      <c r="K56" s="147"/>
      <c r="L56" s="147"/>
      <c r="M56" s="147"/>
    </row>
    <row r="57" spans="1:13" x14ac:dyDescent="0.25">
      <c r="A57" s="39" t="s">
        <v>19</v>
      </c>
      <c r="C57" s="74"/>
      <c r="E57" s="75"/>
    </row>
    <row r="58" spans="1:13" x14ac:dyDescent="0.25">
      <c r="C58" s="74"/>
      <c r="E58" s="75"/>
    </row>
    <row r="59" spans="1:13" x14ac:dyDescent="0.25">
      <c r="C59" s="74"/>
      <c r="E59" s="75"/>
    </row>
    <row r="60" spans="1:13" s="51" customFormat="1" ht="15.9" customHeight="1" x14ac:dyDescent="0.25">
      <c r="A60" s="76" t="s">
        <v>175</v>
      </c>
      <c r="B60" s="76"/>
      <c r="C60" s="76"/>
      <c r="D60" s="76"/>
      <c r="E60" s="77"/>
    </row>
    <row r="61" spans="1:13" s="51" customFormat="1" ht="15.9" customHeight="1" x14ac:dyDescent="0.25">
      <c r="A61" s="78"/>
      <c r="B61" s="78"/>
      <c r="C61" s="76"/>
      <c r="D61" s="76"/>
      <c r="E61" s="77"/>
    </row>
    <row r="62" spans="1:13" s="43" customFormat="1" ht="15.9" customHeight="1" x14ac:dyDescent="0.25">
      <c r="A62" s="51" t="s">
        <v>176</v>
      </c>
    </row>
    <row r="63" spans="1:13" s="43" customFormat="1" ht="15.9" customHeight="1" x14ac:dyDescent="0.25">
      <c r="A63" s="51" t="s">
        <v>177</v>
      </c>
    </row>
    <row r="64" spans="1:13" s="43" customFormat="1" ht="15.9" customHeight="1" x14ac:dyDescent="0.25">
      <c r="A64" s="51" t="s">
        <v>182</v>
      </c>
    </row>
    <row r="65" spans="1:3" s="43" customFormat="1" ht="15.9" customHeight="1" x14ac:dyDescent="0.25">
      <c r="A65" s="160" t="s">
        <v>188</v>
      </c>
      <c r="B65" s="160"/>
      <c r="C65" s="160"/>
    </row>
  </sheetData>
  <sheetProtection algorithmName="SHA-512" hashValue="uvX4a5YkoaLpTFNwkOtfkp+zEXQF6AUDH472zf2dBGijXLQaIJIkGUJWLjGbp9HifZnw9YzK1LoyH3QHNbsWLg==" saltValue="4qSsjUAhKhKdezqlH92Yeg==" spinCount="100000" sheet="1" objects="1" scenarios="1"/>
  <mergeCells count="33">
    <mergeCell ref="A4:M4"/>
    <mergeCell ref="H8:K8"/>
    <mergeCell ref="A65:C65"/>
    <mergeCell ref="A22:M22"/>
    <mergeCell ref="A14:M14"/>
    <mergeCell ref="A28:H28"/>
    <mergeCell ref="A10:M10"/>
    <mergeCell ref="A24:D24"/>
    <mergeCell ref="A56:M56"/>
    <mergeCell ref="A40:M40"/>
    <mergeCell ref="A54:M54"/>
    <mergeCell ref="A36:B36"/>
    <mergeCell ref="A38:M38"/>
    <mergeCell ref="H36:N36"/>
    <mergeCell ref="D36:F36"/>
    <mergeCell ref="E5:I5"/>
    <mergeCell ref="C30:G30"/>
    <mergeCell ref="H30:M30"/>
    <mergeCell ref="A32:B32"/>
    <mergeCell ref="L28:M28"/>
    <mergeCell ref="I28:K28"/>
    <mergeCell ref="D32:F32"/>
    <mergeCell ref="H32:N32"/>
    <mergeCell ref="A12:M12"/>
    <mergeCell ref="A26:M26"/>
    <mergeCell ref="C8:F8"/>
    <mergeCell ref="A20:M20"/>
    <mergeCell ref="A6:M6"/>
    <mergeCell ref="A52:C52"/>
    <mergeCell ref="E52:I52"/>
    <mergeCell ref="A50:M50"/>
    <mergeCell ref="I42:J42"/>
    <mergeCell ref="A34:M34"/>
  </mergeCells>
  <phoneticPr fontId="0" type="noConversion"/>
  <dataValidations count="6">
    <dataValidation type="decimal" allowBlank="1" showInputMessage="1" showErrorMessage="1" error="Enter a raise between 0 &amp; 20" sqref="B44:B47 D44:D47" xr:uid="{00000000-0002-0000-0000-000000000000}">
      <formula1>0</formula1>
      <formula2>20</formula2>
    </dataValidation>
    <dataValidation type="decimal" allowBlank="1" showInputMessage="1" showErrorMessage="1" error="Make sure you enter the locality rate as a number between 0 and 50, and don't enter a % sign." sqref="H33 H35" xr:uid="{00000000-0002-0000-0000-000001000000}">
      <formula1>0</formula1>
      <formula2>50</formula2>
    </dataValidation>
    <dataValidation type="list" allowBlank="1" showInputMessage="1" showErrorMessage="1" sqref="D16" xr:uid="{00000000-0002-0000-0000-000002000000}">
      <formula1>Shift</formula1>
    </dataValidation>
    <dataValidation type="list" allowBlank="1" showInputMessage="1" showErrorMessage="1" sqref="D18" xr:uid="{00000000-0002-0000-0000-000003000000}">
      <formula1>Inspectors</formula1>
    </dataValidation>
    <dataValidation type="list" allowBlank="1" showInputMessage="1" showErrorMessage="1" sqref="C30:G30" xr:uid="{00000000-0002-0000-0000-000004000000}">
      <formula1>Locality</formula1>
    </dataValidation>
    <dataValidation type="list" allowBlank="1" showInputMessage="1" showErrorMessage="1" sqref="E24" xr:uid="{00000000-0002-0000-0000-000005000000}">
      <formula1>Post</formula1>
    </dataValidation>
  </dataValidations>
  <hyperlinks>
    <hyperlink ref="L28" r:id="rId1" location="url=Overview" xr:uid="{00000000-0004-0000-0000-000003000000}"/>
    <hyperlink ref="C8:E8" location="'Shift Firefighters'!G5" display="Shift Firefighters" xr:uid="{1C2DD9A8-7276-4C04-9961-A96F1B8544EA}"/>
    <hyperlink ref="H8:K8" location="'Chief, Training, Inspectors'!G5" display="Chief, Training, Inspectors" xr:uid="{597F5B69-7BF2-49E0-9259-600E740ECF9C}"/>
    <hyperlink ref="C8:F8" location="'Shift Firefighters'!G5" display="Shift Firefighters" xr:uid="{B7B9776F-E04A-4D29-9DE4-9AAECF10C081}"/>
    <hyperlink ref="I28:K28" r:id="rId2" display="Executive Order" xr:uid="{A031CD70-FE11-48B6-8305-7D7FDAE2BB65}"/>
    <hyperlink ref="L28:M28" r:id="rId3" display="COLA Rates" xr:uid="{2B71A34B-42F8-4E95-9FC7-30EA8E658B4A}"/>
    <hyperlink ref="E52:H52" location="'Pay Retention &amp; Special Rates'!D3" display="Pay Retention &amp; Special Rates" xr:uid="{6E257F84-FFC5-4793-9C53-186DD0A2E534}"/>
    <hyperlink ref="E52:I52" location="'Pay Retention &amp; Special Rates'!D3" display="Pay Retention &amp; Special Rates" xr:uid="{3F3F6C87-2A90-47B8-8B37-7B3660189522}"/>
    <hyperlink ref="E5:I5" r:id="rId4" display="fedfirepay.com" xr:uid="{7F7009BE-33A9-44BC-82C0-F99C52D214F1}"/>
    <hyperlink ref="A65" r:id="rId5" display="admin@fedfirepay.net" xr:uid="{55DFA770-2D5E-4421-B566-96D0DE0CE54A}"/>
    <hyperlink ref="A65:C65" r:id="rId6" display="admin@fedfirepay.com" xr:uid="{CD8CECFC-310E-44BD-9C67-887B95ECCCD0}"/>
  </hyperlinks>
  <printOptions horizontalCentered="1"/>
  <pageMargins left="0.75" right="0.75" top="1" bottom="1" header="0.5" footer="0.5"/>
  <pageSetup scale="70" orientation="portrait" horizontalDpi="300" verticalDpi="300" r:id="rId7"/>
  <headerFooter alignWithMargins="0"/>
  <legacyDrawing r:id="rId8"/>
  <pictur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showGridLines="0" workbookViewId="0"/>
  </sheetViews>
  <sheetFormatPr defaultRowHeight="13.2" x14ac:dyDescent="0.25"/>
  <cols>
    <col min="1" max="1" width="9.33203125" style="7" customWidth="1"/>
    <col min="2" max="11" width="9.109375" style="7"/>
  </cols>
  <sheetData>
    <row r="1" spans="1:11" s="1" customFormat="1" ht="12.75" customHeight="1" x14ac:dyDescent="0.25">
      <c r="A1" s="10" t="s">
        <v>27</v>
      </c>
      <c r="B1" s="168"/>
      <c r="C1" s="169"/>
      <c r="D1" s="169"/>
      <c r="E1" s="169"/>
      <c r="F1" s="169"/>
      <c r="G1" s="169"/>
      <c r="H1" s="169"/>
      <c r="I1" s="169"/>
      <c r="J1" s="169"/>
      <c r="K1" s="169"/>
    </row>
    <row r="2" spans="1:11" s="1" customFormat="1" x14ac:dyDescent="0.25">
      <c r="A2" s="2" t="s">
        <v>29</v>
      </c>
      <c r="B2" s="6">
        <v>2023</v>
      </c>
      <c r="C2" s="6" t="s">
        <v>44</v>
      </c>
      <c r="D2" s="6">
        <f>B2+1</f>
        <v>2024</v>
      </c>
      <c r="E2" s="6" t="s">
        <v>44</v>
      </c>
      <c r="F2" s="6">
        <f>D2+1</f>
        <v>2025</v>
      </c>
      <c r="G2" s="6" t="s">
        <v>44</v>
      </c>
      <c r="H2" s="6">
        <f>F2+1</f>
        <v>2026</v>
      </c>
      <c r="I2" s="12" t="s">
        <v>44</v>
      </c>
      <c r="J2" s="6">
        <f>H2+1</f>
        <v>2027</v>
      </c>
      <c r="K2" s="6" t="s">
        <v>44</v>
      </c>
    </row>
    <row r="3" spans="1:11" s="1" customFormat="1" x14ac:dyDescent="0.25">
      <c r="A3" s="13" t="s">
        <v>45</v>
      </c>
      <c r="B3" s="25">
        <v>25764</v>
      </c>
      <c r="C3" s="26">
        <v>859</v>
      </c>
      <c r="D3" s="15">
        <f t="shared" ref="D3:E14" si="0">ROUND(B3+(B3*$K$17),0)</f>
        <v>25764</v>
      </c>
      <c r="E3" s="15">
        <f t="shared" si="0"/>
        <v>859</v>
      </c>
      <c r="F3" s="15">
        <f t="shared" ref="F3:G14" si="1">ROUND(D3+(D3*$K$18),0)</f>
        <v>25764</v>
      </c>
      <c r="G3" s="15">
        <f t="shared" si="1"/>
        <v>859</v>
      </c>
      <c r="H3" s="15">
        <f t="shared" ref="H3:I14" si="2">ROUND(F3+(F3*$K$19),0)</f>
        <v>25764</v>
      </c>
      <c r="I3" s="15">
        <f t="shared" si="2"/>
        <v>859</v>
      </c>
      <c r="J3" s="15">
        <f t="shared" ref="J3:K14" si="3">ROUND(H3+(H3*$K$20),0)</f>
        <v>25764</v>
      </c>
      <c r="K3" s="15">
        <f t="shared" si="3"/>
        <v>859</v>
      </c>
    </row>
    <row r="4" spans="1:11" s="1" customFormat="1" x14ac:dyDescent="0.25">
      <c r="A4" s="16" t="s">
        <v>46</v>
      </c>
      <c r="B4" s="25">
        <v>28921</v>
      </c>
      <c r="C4" s="26">
        <v>964</v>
      </c>
      <c r="D4" s="15">
        <f t="shared" si="0"/>
        <v>28921</v>
      </c>
      <c r="E4" s="15">
        <f t="shared" si="0"/>
        <v>964</v>
      </c>
      <c r="F4" s="15">
        <f t="shared" si="1"/>
        <v>28921</v>
      </c>
      <c r="G4" s="15">
        <f t="shared" si="1"/>
        <v>964</v>
      </c>
      <c r="H4" s="15">
        <f t="shared" si="2"/>
        <v>28921</v>
      </c>
      <c r="I4" s="15">
        <f t="shared" si="2"/>
        <v>964</v>
      </c>
      <c r="J4" s="15">
        <f t="shared" si="3"/>
        <v>28921</v>
      </c>
      <c r="K4" s="15">
        <f t="shared" si="3"/>
        <v>964</v>
      </c>
    </row>
    <row r="5" spans="1:11" s="1" customFormat="1" x14ac:dyDescent="0.25">
      <c r="A5" s="13" t="s">
        <v>47</v>
      </c>
      <c r="B5" s="25">
        <v>32357</v>
      </c>
      <c r="C5" s="26">
        <v>1079</v>
      </c>
      <c r="D5" s="15">
        <f t="shared" si="0"/>
        <v>32357</v>
      </c>
      <c r="E5" s="15">
        <f t="shared" si="0"/>
        <v>1079</v>
      </c>
      <c r="F5" s="15">
        <f t="shared" si="1"/>
        <v>32357</v>
      </c>
      <c r="G5" s="15">
        <f t="shared" si="1"/>
        <v>1079</v>
      </c>
      <c r="H5" s="15">
        <f t="shared" si="2"/>
        <v>32357</v>
      </c>
      <c r="I5" s="15">
        <f t="shared" si="2"/>
        <v>1079</v>
      </c>
      <c r="J5" s="15">
        <f t="shared" si="3"/>
        <v>32357</v>
      </c>
      <c r="K5" s="15">
        <f t="shared" si="3"/>
        <v>1079</v>
      </c>
    </row>
    <row r="6" spans="1:11" s="1" customFormat="1" x14ac:dyDescent="0.25">
      <c r="A6" s="16" t="s">
        <v>48</v>
      </c>
      <c r="B6" s="25">
        <v>36070</v>
      </c>
      <c r="C6" s="26">
        <v>1202</v>
      </c>
      <c r="D6" s="15">
        <f t="shared" si="0"/>
        <v>36070</v>
      </c>
      <c r="E6" s="15">
        <f t="shared" si="0"/>
        <v>1202</v>
      </c>
      <c r="F6" s="15">
        <f t="shared" si="1"/>
        <v>36070</v>
      </c>
      <c r="G6" s="15">
        <f t="shared" si="1"/>
        <v>1202</v>
      </c>
      <c r="H6" s="15">
        <f t="shared" si="2"/>
        <v>36070</v>
      </c>
      <c r="I6" s="15">
        <f t="shared" si="2"/>
        <v>1202</v>
      </c>
      <c r="J6" s="15">
        <f t="shared" si="3"/>
        <v>36070</v>
      </c>
      <c r="K6" s="15">
        <f t="shared" si="3"/>
        <v>1202</v>
      </c>
    </row>
    <row r="7" spans="1:11" s="1" customFormat="1" x14ac:dyDescent="0.25">
      <c r="A7" s="13" t="s">
        <v>49</v>
      </c>
      <c r="B7" s="25">
        <v>40082</v>
      </c>
      <c r="C7" s="26">
        <v>1336</v>
      </c>
      <c r="D7" s="15">
        <f t="shared" si="0"/>
        <v>40082</v>
      </c>
      <c r="E7" s="15">
        <f t="shared" si="0"/>
        <v>1336</v>
      </c>
      <c r="F7" s="15">
        <f t="shared" si="1"/>
        <v>40082</v>
      </c>
      <c r="G7" s="15">
        <f t="shared" si="1"/>
        <v>1336</v>
      </c>
      <c r="H7" s="15">
        <f t="shared" si="2"/>
        <v>40082</v>
      </c>
      <c r="I7" s="15">
        <f t="shared" si="2"/>
        <v>1336</v>
      </c>
      <c r="J7" s="15">
        <f t="shared" si="3"/>
        <v>40082</v>
      </c>
      <c r="K7" s="15">
        <f t="shared" si="3"/>
        <v>1336</v>
      </c>
    </row>
    <row r="8" spans="1:11" s="1" customFormat="1" x14ac:dyDescent="0.25">
      <c r="A8" s="16" t="s">
        <v>50</v>
      </c>
      <c r="B8" s="25">
        <v>44389</v>
      </c>
      <c r="C8" s="26">
        <v>1480</v>
      </c>
      <c r="D8" s="15">
        <f t="shared" si="0"/>
        <v>44389</v>
      </c>
      <c r="E8" s="15">
        <f t="shared" si="0"/>
        <v>1480</v>
      </c>
      <c r="F8" s="15">
        <f t="shared" si="1"/>
        <v>44389</v>
      </c>
      <c r="G8" s="15">
        <f t="shared" si="1"/>
        <v>1480</v>
      </c>
      <c r="H8" s="15">
        <f t="shared" si="2"/>
        <v>44389</v>
      </c>
      <c r="I8" s="15">
        <f t="shared" si="2"/>
        <v>1480</v>
      </c>
      <c r="J8" s="15">
        <f t="shared" si="3"/>
        <v>44389</v>
      </c>
      <c r="K8" s="15">
        <f t="shared" si="3"/>
        <v>1480</v>
      </c>
    </row>
    <row r="9" spans="1:11" s="1" customFormat="1" x14ac:dyDescent="0.25">
      <c r="A9" s="13" t="s">
        <v>51</v>
      </c>
      <c r="B9" s="25">
        <v>49028</v>
      </c>
      <c r="C9" s="26">
        <v>1634</v>
      </c>
      <c r="D9" s="15">
        <f t="shared" si="0"/>
        <v>49028</v>
      </c>
      <c r="E9" s="15">
        <f t="shared" si="0"/>
        <v>1634</v>
      </c>
      <c r="F9" s="15">
        <f t="shared" si="1"/>
        <v>49028</v>
      </c>
      <c r="G9" s="15">
        <f t="shared" si="1"/>
        <v>1634</v>
      </c>
      <c r="H9" s="15">
        <f t="shared" si="2"/>
        <v>49028</v>
      </c>
      <c r="I9" s="15">
        <f t="shared" si="2"/>
        <v>1634</v>
      </c>
      <c r="J9" s="15">
        <f t="shared" si="3"/>
        <v>49028</v>
      </c>
      <c r="K9" s="15">
        <f t="shared" si="3"/>
        <v>1634</v>
      </c>
    </row>
    <row r="10" spans="1:11" s="1" customFormat="1" x14ac:dyDescent="0.25">
      <c r="A10" s="16" t="s">
        <v>52</v>
      </c>
      <c r="B10" s="25">
        <v>53990</v>
      </c>
      <c r="C10" s="26">
        <v>1800</v>
      </c>
      <c r="D10" s="15">
        <f t="shared" si="0"/>
        <v>53990</v>
      </c>
      <c r="E10" s="15">
        <f t="shared" si="0"/>
        <v>1800</v>
      </c>
      <c r="F10" s="15">
        <f t="shared" si="1"/>
        <v>53990</v>
      </c>
      <c r="G10" s="15">
        <f t="shared" si="1"/>
        <v>1800</v>
      </c>
      <c r="H10" s="15">
        <f t="shared" si="2"/>
        <v>53990</v>
      </c>
      <c r="I10" s="15">
        <f t="shared" si="2"/>
        <v>1800</v>
      </c>
      <c r="J10" s="15">
        <f t="shared" si="3"/>
        <v>53990</v>
      </c>
      <c r="K10" s="15">
        <f t="shared" si="3"/>
        <v>1800</v>
      </c>
    </row>
    <row r="11" spans="1:11" s="1" customFormat="1" x14ac:dyDescent="0.25">
      <c r="A11" s="13" t="s">
        <v>53</v>
      </c>
      <c r="B11" s="25">
        <v>59319</v>
      </c>
      <c r="C11" s="26">
        <v>1977</v>
      </c>
      <c r="D11" s="15">
        <f t="shared" si="0"/>
        <v>59319</v>
      </c>
      <c r="E11" s="15">
        <f t="shared" si="0"/>
        <v>1977</v>
      </c>
      <c r="F11" s="15">
        <f t="shared" si="1"/>
        <v>59319</v>
      </c>
      <c r="G11" s="15">
        <f t="shared" si="1"/>
        <v>1977</v>
      </c>
      <c r="H11" s="15">
        <f t="shared" si="2"/>
        <v>59319</v>
      </c>
      <c r="I11" s="15">
        <f t="shared" si="2"/>
        <v>1977</v>
      </c>
      <c r="J11" s="15">
        <f t="shared" si="3"/>
        <v>59319</v>
      </c>
      <c r="K11" s="15">
        <f t="shared" si="3"/>
        <v>1977</v>
      </c>
    </row>
    <row r="12" spans="1:11" s="1" customFormat="1" x14ac:dyDescent="0.25">
      <c r="A12" s="16" t="s">
        <v>54</v>
      </c>
      <c r="B12" s="25">
        <v>71099</v>
      </c>
      <c r="C12" s="26">
        <v>2370</v>
      </c>
      <c r="D12" s="15">
        <f t="shared" si="0"/>
        <v>71099</v>
      </c>
      <c r="E12" s="15">
        <f t="shared" si="0"/>
        <v>2370</v>
      </c>
      <c r="F12" s="15">
        <f t="shared" si="1"/>
        <v>71099</v>
      </c>
      <c r="G12" s="15">
        <f t="shared" si="1"/>
        <v>2370</v>
      </c>
      <c r="H12" s="15">
        <f t="shared" si="2"/>
        <v>71099</v>
      </c>
      <c r="I12" s="15">
        <f t="shared" si="2"/>
        <v>2370</v>
      </c>
      <c r="J12" s="15">
        <f t="shared" si="3"/>
        <v>71099</v>
      </c>
      <c r="K12" s="15">
        <f t="shared" si="3"/>
        <v>2370</v>
      </c>
    </row>
    <row r="13" spans="1:11" s="1" customFormat="1" x14ac:dyDescent="0.25">
      <c r="A13" s="18" t="s">
        <v>55</v>
      </c>
      <c r="B13" s="25">
        <v>84546</v>
      </c>
      <c r="C13" s="26">
        <v>2818</v>
      </c>
      <c r="D13" s="15">
        <f>ROUND(B13+(B13*$K$17),0)</f>
        <v>84546</v>
      </c>
      <c r="E13" s="15">
        <f>ROUND(C13+(C13*$K$17),0)</f>
        <v>2818</v>
      </c>
      <c r="F13" s="15">
        <f>ROUND(D13+(D13*$K$18),0)</f>
        <v>84546</v>
      </c>
      <c r="G13" s="15">
        <f>ROUND(E13+(E13*$K$18),0)</f>
        <v>2818</v>
      </c>
      <c r="H13" s="15">
        <f>ROUND(F13+(F13*$K$19),0)</f>
        <v>84546</v>
      </c>
      <c r="I13" s="15">
        <f>ROUND(G13+(G13*$K$19),0)</f>
        <v>2818</v>
      </c>
      <c r="J13" s="15">
        <f>ROUND(H13+(H13*$K$20),0)</f>
        <v>84546</v>
      </c>
      <c r="K13" s="15">
        <f>ROUND(I13+(I13*$K$20),0)</f>
        <v>2818</v>
      </c>
    </row>
    <row r="14" spans="1:11" s="1" customFormat="1" x14ac:dyDescent="0.25">
      <c r="A14" s="18" t="s">
        <v>100</v>
      </c>
      <c r="B14" s="25">
        <v>99908</v>
      </c>
      <c r="C14" s="26">
        <v>3330</v>
      </c>
      <c r="D14" s="15">
        <f t="shared" si="0"/>
        <v>99908</v>
      </c>
      <c r="E14" s="15">
        <f t="shared" si="0"/>
        <v>3330</v>
      </c>
      <c r="F14" s="15">
        <f t="shared" si="1"/>
        <v>99908</v>
      </c>
      <c r="G14" s="15">
        <f t="shared" si="1"/>
        <v>3330</v>
      </c>
      <c r="H14" s="15">
        <f t="shared" si="2"/>
        <v>99908</v>
      </c>
      <c r="I14" s="15">
        <f t="shared" si="2"/>
        <v>3330</v>
      </c>
      <c r="J14" s="15">
        <f t="shared" si="3"/>
        <v>99908</v>
      </c>
      <c r="K14" s="15">
        <f t="shared" si="3"/>
        <v>3330</v>
      </c>
    </row>
    <row r="15" spans="1:11" s="1" customFormat="1" x14ac:dyDescent="0.25">
      <c r="A15" s="19"/>
      <c r="B15" s="20"/>
      <c r="C15" s="20"/>
      <c r="D15" s="20"/>
      <c r="E15" s="20"/>
      <c r="F15" s="20"/>
      <c r="G15" s="20"/>
      <c r="H15" s="20"/>
      <c r="I15" s="20"/>
      <c r="J15" s="20"/>
      <c r="K15" s="21"/>
    </row>
    <row r="16" spans="1:11" x14ac:dyDescent="0.25">
      <c r="A16" s="2" t="s">
        <v>29</v>
      </c>
      <c r="B16" s="2">
        <f>J2+1</f>
        <v>2028</v>
      </c>
      <c r="C16" s="2" t="s">
        <v>44</v>
      </c>
      <c r="D16" s="6">
        <f>B16+1</f>
        <v>2029</v>
      </c>
      <c r="E16" s="2" t="s">
        <v>44</v>
      </c>
      <c r="F16" s="6">
        <f>D16+1</f>
        <v>2030</v>
      </c>
      <c r="G16" s="2" t="s">
        <v>44</v>
      </c>
      <c r="H16" s="6">
        <f>F16+1</f>
        <v>2031</v>
      </c>
      <c r="I16" s="2" t="s">
        <v>44</v>
      </c>
      <c r="J16" s="2" t="s">
        <v>56</v>
      </c>
      <c r="K16" s="2" t="s">
        <v>57</v>
      </c>
    </row>
    <row r="17" spans="1:11" x14ac:dyDescent="0.25">
      <c r="A17" s="13" t="s">
        <v>45</v>
      </c>
      <c r="B17" s="15">
        <f t="shared" ref="B17:B28" si="4">ROUND(J3+(J3*$K$21),0)</f>
        <v>25764</v>
      </c>
      <c r="C17" s="15">
        <f t="shared" ref="C17:C28" si="5">ROUND(K3+(K3*$K$21),0)</f>
        <v>859</v>
      </c>
      <c r="D17" s="15">
        <f t="shared" ref="D17:E28" si="6">ROUND(B17+(B17*$K$22),0)</f>
        <v>25764</v>
      </c>
      <c r="E17" s="15">
        <f t="shared" si="6"/>
        <v>859</v>
      </c>
      <c r="F17" s="15">
        <f t="shared" ref="F17:G28" si="7">ROUND(D17+(D17*$K$23),0)</f>
        <v>25764</v>
      </c>
      <c r="G17" s="15">
        <f t="shared" si="7"/>
        <v>859</v>
      </c>
      <c r="H17" s="15">
        <f t="shared" ref="H17:I28" si="8">ROUND(F17+(F17*$K$24),0)</f>
        <v>25764</v>
      </c>
      <c r="I17" s="15">
        <f t="shared" si="8"/>
        <v>859</v>
      </c>
      <c r="J17" s="22">
        <f>B2+1</f>
        <v>2024</v>
      </c>
      <c r="K17" s="23">
        <f>IF('Start Page'!B44="N/A",0,'Start Page'!B44)</f>
        <v>0</v>
      </c>
    </row>
    <row r="18" spans="1:11" x14ac:dyDescent="0.25">
      <c r="A18" s="16" t="s">
        <v>46</v>
      </c>
      <c r="B18" s="15">
        <f t="shared" si="4"/>
        <v>28921</v>
      </c>
      <c r="C18" s="15">
        <f t="shared" si="5"/>
        <v>964</v>
      </c>
      <c r="D18" s="15">
        <f t="shared" si="6"/>
        <v>28921</v>
      </c>
      <c r="E18" s="15">
        <f t="shared" si="6"/>
        <v>964</v>
      </c>
      <c r="F18" s="15">
        <f t="shared" si="7"/>
        <v>28921</v>
      </c>
      <c r="G18" s="15">
        <f t="shared" si="7"/>
        <v>964</v>
      </c>
      <c r="H18" s="15">
        <f t="shared" si="8"/>
        <v>28921</v>
      </c>
      <c r="I18" s="15">
        <f t="shared" si="8"/>
        <v>964</v>
      </c>
      <c r="J18" s="24">
        <f>J17+1</f>
        <v>2025</v>
      </c>
      <c r="K18" s="23">
        <f>IF('Start Page'!D44="N/A",0,'Start Page'!D44)</f>
        <v>0</v>
      </c>
    </row>
    <row r="19" spans="1:11" x14ac:dyDescent="0.25">
      <c r="A19" s="13" t="s">
        <v>47</v>
      </c>
      <c r="B19" s="15">
        <f t="shared" si="4"/>
        <v>32357</v>
      </c>
      <c r="C19" s="15">
        <f t="shared" si="5"/>
        <v>1079</v>
      </c>
      <c r="D19" s="15">
        <f t="shared" si="6"/>
        <v>32357</v>
      </c>
      <c r="E19" s="15">
        <f t="shared" si="6"/>
        <v>1079</v>
      </c>
      <c r="F19" s="15">
        <f t="shared" si="7"/>
        <v>32357</v>
      </c>
      <c r="G19" s="15">
        <f t="shared" si="7"/>
        <v>1079</v>
      </c>
      <c r="H19" s="15">
        <f t="shared" si="8"/>
        <v>32357</v>
      </c>
      <c r="I19" s="15">
        <f t="shared" si="8"/>
        <v>1079</v>
      </c>
      <c r="J19" s="24">
        <f t="shared" ref="J19:J24" si="9">J18+1</f>
        <v>2026</v>
      </c>
      <c r="K19" s="23">
        <f>IF('Start Page'!B45="N/A",0,'Start Page'!B45)</f>
        <v>0</v>
      </c>
    </row>
    <row r="20" spans="1:11" x14ac:dyDescent="0.25">
      <c r="A20" s="16" t="s">
        <v>48</v>
      </c>
      <c r="B20" s="15">
        <f t="shared" si="4"/>
        <v>36070</v>
      </c>
      <c r="C20" s="15">
        <f t="shared" si="5"/>
        <v>1202</v>
      </c>
      <c r="D20" s="15">
        <f t="shared" si="6"/>
        <v>36070</v>
      </c>
      <c r="E20" s="15">
        <f t="shared" si="6"/>
        <v>1202</v>
      </c>
      <c r="F20" s="15">
        <f t="shared" si="7"/>
        <v>36070</v>
      </c>
      <c r="G20" s="15">
        <f t="shared" si="7"/>
        <v>1202</v>
      </c>
      <c r="H20" s="15">
        <f t="shared" si="8"/>
        <v>36070</v>
      </c>
      <c r="I20" s="15">
        <f t="shared" si="8"/>
        <v>1202</v>
      </c>
      <c r="J20" s="24">
        <f t="shared" si="9"/>
        <v>2027</v>
      </c>
      <c r="K20" s="23">
        <f>IF('Start Page'!D45="N/A",0,'Start Page'!D45)</f>
        <v>0</v>
      </c>
    </row>
    <row r="21" spans="1:11" x14ac:dyDescent="0.25">
      <c r="A21" s="13" t="s">
        <v>49</v>
      </c>
      <c r="B21" s="15">
        <f t="shared" si="4"/>
        <v>40082</v>
      </c>
      <c r="C21" s="15">
        <f t="shared" si="5"/>
        <v>1336</v>
      </c>
      <c r="D21" s="15">
        <f t="shared" si="6"/>
        <v>40082</v>
      </c>
      <c r="E21" s="15">
        <f t="shared" si="6"/>
        <v>1336</v>
      </c>
      <c r="F21" s="15">
        <f t="shared" si="7"/>
        <v>40082</v>
      </c>
      <c r="G21" s="15">
        <f t="shared" si="7"/>
        <v>1336</v>
      </c>
      <c r="H21" s="15">
        <f t="shared" si="8"/>
        <v>40082</v>
      </c>
      <c r="I21" s="15">
        <f t="shared" si="8"/>
        <v>1336</v>
      </c>
      <c r="J21" s="24">
        <f t="shared" si="9"/>
        <v>2028</v>
      </c>
      <c r="K21" s="23">
        <f>IF('Start Page'!B46="N/A",0,'Start Page'!B46)</f>
        <v>0</v>
      </c>
    </row>
    <row r="22" spans="1:11" x14ac:dyDescent="0.25">
      <c r="A22" s="16" t="s">
        <v>50</v>
      </c>
      <c r="B22" s="15">
        <f t="shared" si="4"/>
        <v>44389</v>
      </c>
      <c r="C22" s="15">
        <f t="shared" si="5"/>
        <v>1480</v>
      </c>
      <c r="D22" s="15">
        <f t="shared" si="6"/>
        <v>44389</v>
      </c>
      <c r="E22" s="15">
        <f t="shared" si="6"/>
        <v>1480</v>
      </c>
      <c r="F22" s="15">
        <f t="shared" si="7"/>
        <v>44389</v>
      </c>
      <c r="G22" s="15">
        <f t="shared" si="7"/>
        <v>1480</v>
      </c>
      <c r="H22" s="15">
        <f t="shared" si="8"/>
        <v>44389</v>
      </c>
      <c r="I22" s="15">
        <f t="shared" si="8"/>
        <v>1480</v>
      </c>
      <c r="J22" s="24">
        <f t="shared" si="9"/>
        <v>2029</v>
      </c>
      <c r="K22" s="23">
        <f>IF('Start Page'!D46="N/A",0,'Start Page'!D46)</f>
        <v>0</v>
      </c>
    </row>
    <row r="23" spans="1:11" x14ac:dyDescent="0.25">
      <c r="A23" s="13" t="s">
        <v>51</v>
      </c>
      <c r="B23" s="15">
        <f t="shared" si="4"/>
        <v>49028</v>
      </c>
      <c r="C23" s="15">
        <f t="shared" si="5"/>
        <v>1634</v>
      </c>
      <c r="D23" s="15">
        <f t="shared" si="6"/>
        <v>49028</v>
      </c>
      <c r="E23" s="15">
        <f t="shared" si="6"/>
        <v>1634</v>
      </c>
      <c r="F23" s="15">
        <f t="shared" si="7"/>
        <v>49028</v>
      </c>
      <c r="G23" s="15">
        <f t="shared" si="7"/>
        <v>1634</v>
      </c>
      <c r="H23" s="15">
        <f t="shared" si="8"/>
        <v>49028</v>
      </c>
      <c r="I23" s="15">
        <f t="shared" si="8"/>
        <v>1634</v>
      </c>
      <c r="J23" s="24">
        <f t="shared" si="9"/>
        <v>2030</v>
      </c>
      <c r="K23" s="23">
        <f>IF('Start Page'!B47="N/A",0,'Start Page'!B47)</f>
        <v>0</v>
      </c>
    </row>
    <row r="24" spans="1:11" x14ac:dyDescent="0.25">
      <c r="A24" s="16" t="s">
        <v>52</v>
      </c>
      <c r="B24" s="15">
        <f t="shared" si="4"/>
        <v>53990</v>
      </c>
      <c r="C24" s="15">
        <f t="shared" si="5"/>
        <v>1800</v>
      </c>
      <c r="D24" s="15">
        <f t="shared" si="6"/>
        <v>53990</v>
      </c>
      <c r="E24" s="15">
        <f t="shared" si="6"/>
        <v>1800</v>
      </c>
      <c r="F24" s="15">
        <f t="shared" si="7"/>
        <v>53990</v>
      </c>
      <c r="G24" s="15">
        <f t="shared" si="7"/>
        <v>1800</v>
      </c>
      <c r="H24" s="15">
        <f t="shared" si="8"/>
        <v>53990</v>
      </c>
      <c r="I24" s="15">
        <f t="shared" si="8"/>
        <v>1800</v>
      </c>
      <c r="J24" s="24">
        <f t="shared" si="9"/>
        <v>2031</v>
      </c>
      <c r="K24" s="23">
        <f>IF('Start Page'!D47="N/A",0,'Start Page'!D47)</f>
        <v>0</v>
      </c>
    </row>
    <row r="25" spans="1:11" x14ac:dyDescent="0.25">
      <c r="A25" s="13" t="s">
        <v>53</v>
      </c>
      <c r="B25" s="15">
        <f t="shared" si="4"/>
        <v>59319</v>
      </c>
      <c r="C25" s="15">
        <f t="shared" si="5"/>
        <v>1977</v>
      </c>
      <c r="D25" s="15">
        <f t="shared" si="6"/>
        <v>59319</v>
      </c>
      <c r="E25" s="15">
        <f t="shared" si="6"/>
        <v>1977</v>
      </c>
      <c r="F25" s="15">
        <f t="shared" si="7"/>
        <v>59319</v>
      </c>
      <c r="G25" s="15">
        <f t="shared" si="7"/>
        <v>1977</v>
      </c>
      <c r="H25" s="15">
        <f t="shared" si="8"/>
        <v>59319</v>
      </c>
      <c r="I25" s="15">
        <f t="shared" si="8"/>
        <v>1977</v>
      </c>
      <c r="J25" s="14"/>
      <c r="K25" s="14"/>
    </row>
    <row r="26" spans="1:11" x14ac:dyDescent="0.25">
      <c r="A26" s="16" t="s">
        <v>54</v>
      </c>
      <c r="B26" s="15">
        <f t="shared" si="4"/>
        <v>71099</v>
      </c>
      <c r="C26" s="15">
        <f t="shared" si="5"/>
        <v>2370</v>
      </c>
      <c r="D26" s="15">
        <f t="shared" si="6"/>
        <v>71099</v>
      </c>
      <c r="E26" s="15">
        <f t="shared" si="6"/>
        <v>2370</v>
      </c>
      <c r="F26" s="15">
        <f t="shared" si="7"/>
        <v>71099</v>
      </c>
      <c r="G26" s="15">
        <f t="shared" si="7"/>
        <v>2370</v>
      </c>
      <c r="H26" s="15">
        <f t="shared" si="8"/>
        <v>71099</v>
      </c>
      <c r="I26" s="15">
        <f t="shared" si="8"/>
        <v>2370</v>
      </c>
      <c r="J26" s="17"/>
      <c r="K26" s="17"/>
    </row>
    <row r="27" spans="1:11" x14ac:dyDescent="0.25">
      <c r="A27" s="13" t="s">
        <v>55</v>
      </c>
      <c r="B27" s="15">
        <f t="shared" si="4"/>
        <v>84546</v>
      </c>
      <c r="C27" s="15">
        <f t="shared" si="5"/>
        <v>2818</v>
      </c>
      <c r="D27" s="15">
        <f>ROUND(B27+(B27*$K$22),0)</f>
        <v>84546</v>
      </c>
      <c r="E27" s="15">
        <f>ROUND(C27+(C27*$K$22),0)</f>
        <v>2818</v>
      </c>
      <c r="F27" s="15">
        <f>ROUND(D27+(D27*$K$23),0)</f>
        <v>84546</v>
      </c>
      <c r="G27" s="15">
        <f>ROUND(E27+(E27*$K$23),0)</f>
        <v>2818</v>
      </c>
      <c r="H27" s="15">
        <f>ROUND(F27+(F27*$K$24),0)</f>
        <v>84546</v>
      </c>
      <c r="I27" s="15">
        <f>ROUND(G27+(G27*$K$24),0)</f>
        <v>2818</v>
      </c>
      <c r="J27" s="17"/>
      <c r="K27" s="17"/>
    </row>
    <row r="28" spans="1:11" x14ac:dyDescent="0.25">
      <c r="A28" s="13" t="s">
        <v>100</v>
      </c>
      <c r="B28" s="15">
        <f t="shared" si="4"/>
        <v>99908</v>
      </c>
      <c r="C28" s="15">
        <f t="shared" si="5"/>
        <v>3330</v>
      </c>
      <c r="D28" s="15">
        <f t="shared" si="6"/>
        <v>99908</v>
      </c>
      <c r="E28" s="15">
        <f t="shared" si="6"/>
        <v>3330</v>
      </c>
      <c r="F28" s="15">
        <f t="shared" si="7"/>
        <v>99908</v>
      </c>
      <c r="G28" s="15">
        <f t="shared" si="7"/>
        <v>3330</v>
      </c>
      <c r="H28" s="15">
        <f t="shared" si="8"/>
        <v>99908</v>
      </c>
      <c r="I28" s="15">
        <f t="shared" si="8"/>
        <v>3330</v>
      </c>
      <c r="J28" s="14"/>
      <c r="K28" s="14"/>
    </row>
    <row r="30" spans="1:11" x14ac:dyDescent="0.25">
      <c r="A30" s="9" t="s">
        <v>37</v>
      </c>
    </row>
    <row r="31" spans="1:11" x14ac:dyDescent="0.25">
      <c r="A31" s="9">
        <v>84</v>
      </c>
    </row>
    <row r="32" spans="1:11" x14ac:dyDescent="0.25">
      <c r="A32" s="9">
        <v>72</v>
      </c>
    </row>
    <row r="33" spans="1:1" x14ac:dyDescent="0.25">
      <c r="A33" s="9">
        <v>60</v>
      </c>
    </row>
    <row r="34" spans="1:1" x14ac:dyDescent="0.25">
      <c r="A34" s="9">
        <v>56</v>
      </c>
    </row>
    <row r="35" spans="1:1" x14ac:dyDescent="0.25">
      <c r="A35" s="9">
        <v>53</v>
      </c>
    </row>
    <row r="36" spans="1:1" x14ac:dyDescent="0.25">
      <c r="A36" s="9" t="s">
        <v>81</v>
      </c>
    </row>
    <row r="37" spans="1:1" x14ac:dyDescent="0.25">
      <c r="A37" s="11" t="s">
        <v>89</v>
      </c>
    </row>
    <row r="38" spans="1:1" x14ac:dyDescent="0.25">
      <c r="A38" s="11" t="s">
        <v>90</v>
      </c>
    </row>
  </sheetData>
  <sheetProtection algorithmName="SHA-512" hashValue="w7FUB9xaOMl/hTAbkVlr+VXcW3m/9PZ4PxZbPagYWZzE200d/mhcBgqDKr+Ep5gkl6SnFDB1PHyMT/snr/DRqw==" saltValue="mu5pA/I0O57gzKMudl4A8g==" spinCount="100000"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
  <sheetViews>
    <sheetView workbookViewId="0">
      <selection activeCell="A2" sqref="A2"/>
    </sheetView>
  </sheetViews>
  <sheetFormatPr defaultRowHeight="13.2" x14ac:dyDescent="0.25"/>
  <cols>
    <col min="1" max="11" width="9.109375" style="7"/>
  </cols>
  <sheetData>
    <row r="1" spans="1:11" s="1" customFormat="1" x14ac:dyDescent="0.25">
      <c r="A1" s="11"/>
      <c r="B1" s="11"/>
      <c r="C1" s="11"/>
      <c r="D1" s="11"/>
      <c r="E1" s="8" t="s">
        <v>58</v>
      </c>
      <c r="F1" s="11"/>
      <c r="G1" s="11"/>
      <c r="H1" s="5"/>
      <c r="I1" s="11"/>
      <c r="J1" s="11"/>
      <c r="K1" s="11"/>
    </row>
    <row r="2" spans="1:11" s="1" customFormat="1" ht="12.75" customHeight="1" x14ac:dyDescent="0.25">
      <c r="A2" s="38" t="s">
        <v>27</v>
      </c>
      <c r="B2" s="170" t="s">
        <v>28</v>
      </c>
      <c r="C2" s="171"/>
      <c r="D2" s="171"/>
      <c r="E2" s="171"/>
      <c r="F2" s="171"/>
      <c r="G2" s="171"/>
      <c r="H2" s="171"/>
      <c r="I2" s="171"/>
      <c r="J2" s="171"/>
      <c r="K2" s="172"/>
    </row>
    <row r="3" spans="1:11" s="1" customFormat="1" x14ac:dyDescent="0.25">
      <c r="A3" s="2" t="s">
        <v>29</v>
      </c>
      <c r="B3" s="3">
        <v>1</v>
      </c>
      <c r="C3" s="3">
        <v>2</v>
      </c>
      <c r="D3" s="3">
        <v>3</v>
      </c>
      <c r="E3" s="3">
        <v>4</v>
      </c>
      <c r="F3" s="3">
        <v>5</v>
      </c>
      <c r="G3" s="3">
        <v>6</v>
      </c>
      <c r="H3" s="3">
        <v>7</v>
      </c>
      <c r="I3" s="3">
        <v>8</v>
      </c>
      <c r="J3" s="3">
        <v>9</v>
      </c>
      <c r="K3" s="3">
        <v>10</v>
      </c>
    </row>
    <row r="4" spans="1:11" s="1" customFormat="1" x14ac:dyDescent="0.25">
      <c r="A4" s="4">
        <v>3</v>
      </c>
      <c r="B4" s="15">
        <f>'GS Pay Calculator'!H17</f>
        <v>25764</v>
      </c>
      <c r="C4" s="15">
        <f>B4+'GS Pay Calculator'!$I17</f>
        <v>26623</v>
      </c>
      <c r="D4" s="15">
        <f>C4+'GS Pay Calculator'!$I17</f>
        <v>27482</v>
      </c>
      <c r="E4" s="15">
        <f>D4+'GS Pay Calculator'!$I17</f>
        <v>28341</v>
      </c>
      <c r="F4" s="15">
        <f>E4+'GS Pay Calculator'!$I17</f>
        <v>29200</v>
      </c>
      <c r="G4" s="15">
        <f>F4+'GS Pay Calculator'!$I17</f>
        <v>30059</v>
      </c>
      <c r="H4" s="15">
        <f>G4+'GS Pay Calculator'!$I17</f>
        <v>30918</v>
      </c>
      <c r="I4" s="15">
        <f>H4+'GS Pay Calculator'!$I17</f>
        <v>31777</v>
      </c>
      <c r="J4" s="15">
        <f>I4+'GS Pay Calculator'!$I17</f>
        <v>32636</v>
      </c>
      <c r="K4" s="15">
        <f>J4+'GS Pay Calculator'!$I17</f>
        <v>33495</v>
      </c>
    </row>
    <row r="5" spans="1:11" s="1" customFormat="1" x14ac:dyDescent="0.25">
      <c r="A5" s="4">
        <v>4</v>
      </c>
      <c r="B5" s="15">
        <f>'GS Pay Calculator'!H18</f>
        <v>28921</v>
      </c>
      <c r="C5" s="15">
        <f>B5+'GS Pay Calculator'!$I18</f>
        <v>29885</v>
      </c>
      <c r="D5" s="15">
        <f>C5+'GS Pay Calculator'!$I18</f>
        <v>30849</v>
      </c>
      <c r="E5" s="15">
        <f>D5+'GS Pay Calculator'!$I18</f>
        <v>31813</v>
      </c>
      <c r="F5" s="15">
        <f>E5+'GS Pay Calculator'!$I18</f>
        <v>32777</v>
      </c>
      <c r="G5" s="15">
        <f>F5+'GS Pay Calculator'!$I18</f>
        <v>33741</v>
      </c>
      <c r="H5" s="15">
        <f>G5+'GS Pay Calculator'!$I18</f>
        <v>34705</v>
      </c>
      <c r="I5" s="15">
        <f>H5+'GS Pay Calculator'!$I18</f>
        <v>35669</v>
      </c>
      <c r="J5" s="15">
        <f>I5+'GS Pay Calculator'!$I18</f>
        <v>36633</v>
      </c>
      <c r="K5" s="15">
        <f>J5+'GS Pay Calculator'!$I18</f>
        <v>37597</v>
      </c>
    </row>
    <row r="6" spans="1:11" s="1" customFormat="1" x14ac:dyDescent="0.25">
      <c r="A6" s="4">
        <v>5</v>
      </c>
      <c r="B6" s="15">
        <f>'GS Pay Calculator'!H19</f>
        <v>32357</v>
      </c>
      <c r="C6" s="15">
        <f>B6+'GS Pay Calculator'!$I19</f>
        <v>33436</v>
      </c>
      <c r="D6" s="15">
        <f>C6+'GS Pay Calculator'!$I19</f>
        <v>34515</v>
      </c>
      <c r="E6" s="15">
        <f>D6+'GS Pay Calculator'!$I19</f>
        <v>35594</v>
      </c>
      <c r="F6" s="15">
        <f>E6+'GS Pay Calculator'!$I19</f>
        <v>36673</v>
      </c>
      <c r="G6" s="15">
        <f>F6+'GS Pay Calculator'!$I19</f>
        <v>37752</v>
      </c>
      <c r="H6" s="15">
        <f>G6+'GS Pay Calculator'!$I19</f>
        <v>38831</v>
      </c>
      <c r="I6" s="15">
        <f>H6+'GS Pay Calculator'!$I19</f>
        <v>39910</v>
      </c>
      <c r="J6" s="15">
        <f>I6+'GS Pay Calculator'!$I19</f>
        <v>40989</v>
      </c>
      <c r="K6" s="15">
        <f>J6+'GS Pay Calculator'!$I19</f>
        <v>42068</v>
      </c>
    </row>
    <row r="7" spans="1:11" s="1" customFormat="1" x14ac:dyDescent="0.25">
      <c r="A7" s="4">
        <v>6</v>
      </c>
      <c r="B7" s="15">
        <f>'GS Pay Calculator'!H20</f>
        <v>36070</v>
      </c>
      <c r="C7" s="15">
        <f>B7+'GS Pay Calculator'!$I20</f>
        <v>37272</v>
      </c>
      <c r="D7" s="15">
        <f>C7+'GS Pay Calculator'!$I20</f>
        <v>38474</v>
      </c>
      <c r="E7" s="15">
        <f>D7+'GS Pay Calculator'!$I20</f>
        <v>39676</v>
      </c>
      <c r="F7" s="15">
        <f>E7+'GS Pay Calculator'!$I20</f>
        <v>40878</v>
      </c>
      <c r="G7" s="15">
        <f>F7+'GS Pay Calculator'!$I20</f>
        <v>42080</v>
      </c>
      <c r="H7" s="15">
        <f>G7+'GS Pay Calculator'!$I20</f>
        <v>43282</v>
      </c>
      <c r="I7" s="15">
        <f>H7+'GS Pay Calculator'!$I20</f>
        <v>44484</v>
      </c>
      <c r="J7" s="15">
        <f>I7+'GS Pay Calculator'!$I20</f>
        <v>45686</v>
      </c>
      <c r="K7" s="15">
        <f>J7+'GS Pay Calculator'!$I20</f>
        <v>46888</v>
      </c>
    </row>
    <row r="8" spans="1:11" s="1" customFormat="1" x14ac:dyDescent="0.25">
      <c r="A8" s="4">
        <v>7</v>
      </c>
      <c r="B8" s="15">
        <f>'GS Pay Calculator'!H21</f>
        <v>40082</v>
      </c>
      <c r="C8" s="15">
        <f>B8+'GS Pay Calculator'!$I21</f>
        <v>41418</v>
      </c>
      <c r="D8" s="15">
        <f>C8+'GS Pay Calculator'!$I21</f>
        <v>42754</v>
      </c>
      <c r="E8" s="15">
        <f>D8+'GS Pay Calculator'!$I21</f>
        <v>44090</v>
      </c>
      <c r="F8" s="15">
        <f>E8+'GS Pay Calculator'!$I21</f>
        <v>45426</v>
      </c>
      <c r="G8" s="15">
        <f>F8+'GS Pay Calculator'!$I21</f>
        <v>46762</v>
      </c>
      <c r="H8" s="15">
        <f>G8+'GS Pay Calculator'!$I21</f>
        <v>48098</v>
      </c>
      <c r="I8" s="15">
        <f>H8+'GS Pay Calculator'!$I21</f>
        <v>49434</v>
      </c>
      <c r="J8" s="15">
        <f>I8+'GS Pay Calculator'!$I21</f>
        <v>50770</v>
      </c>
      <c r="K8" s="15">
        <f>J8+'GS Pay Calculator'!$I21</f>
        <v>52106</v>
      </c>
    </row>
    <row r="9" spans="1:11" s="1" customFormat="1" x14ac:dyDescent="0.25">
      <c r="A9" s="4">
        <v>8</v>
      </c>
      <c r="B9" s="15">
        <f>'GS Pay Calculator'!H22</f>
        <v>44389</v>
      </c>
      <c r="C9" s="15">
        <f>B9+'GS Pay Calculator'!$I22</f>
        <v>45869</v>
      </c>
      <c r="D9" s="15">
        <f>C9+'GS Pay Calculator'!$I22</f>
        <v>47349</v>
      </c>
      <c r="E9" s="15">
        <f>D9+'GS Pay Calculator'!$I22</f>
        <v>48829</v>
      </c>
      <c r="F9" s="15">
        <f>E9+'GS Pay Calculator'!$I22</f>
        <v>50309</v>
      </c>
      <c r="G9" s="15">
        <f>F9+'GS Pay Calculator'!$I22</f>
        <v>51789</v>
      </c>
      <c r="H9" s="15">
        <f>G9+'GS Pay Calculator'!$I22</f>
        <v>53269</v>
      </c>
      <c r="I9" s="15">
        <f>H9+'GS Pay Calculator'!$I22</f>
        <v>54749</v>
      </c>
      <c r="J9" s="15">
        <f>I9+'GS Pay Calculator'!$I22</f>
        <v>56229</v>
      </c>
      <c r="K9" s="15">
        <f>J9+'GS Pay Calculator'!$I22</f>
        <v>57709</v>
      </c>
    </row>
    <row r="10" spans="1:11" s="1" customFormat="1" x14ac:dyDescent="0.25">
      <c r="A10" s="4">
        <v>9</v>
      </c>
      <c r="B10" s="15">
        <f>'GS Pay Calculator'!H23</f>
        <v>49028</v>
      </c>
      <c r="C10" s="15">
        <f>B10+'GS Pay Calculator'!$I23</f>
        <v>50662</v>
      </c>
      <c r="D10" s="15">
        <f>C10+'GS Pay Calculator'!$I23</f>
        <v>52296</v>
      </c>
      <c r="E10" s="15">
        <f>D10+'GS Pay Calculator'!$I23</f>
        <v>53930</v>
      </c>
      <c r="F10" s="15">
        <f>E10+'GS Pay Calculator'!$I23</f>
        <v>55564</v>
      </c>
      <c r="G10" s="15">
        <f>F10+'GS Pay Calculator'!$I23</f>
        <v>57198</v>
      </c>
      <c r="H10" s="15">
        <f>G10+'GS Pay Calculator'!$I23</f>
        <v>58832</v>
      </c>
      <c r="I10" s="15">
        <f>H10+'GS Pay Calculator'!$I23</f>
        <v>60466</v>
      </c>
      <c r="J10" s="15">
        <f>I10+'GS Pay Calculator'!$I23</f>
        <v>62100</v>
      </c>
      <c r="K10" s="15">
        <f>J10+'GS Pay Calculator'!$I23</f>
        <v>63734</v>
      </c>
    </row>
    <row r="11" spans="1:11" s="1" customFormat="1" x14ac:dyDescent="0.25">
      <c r="A11" s="4">
        <v>10</v>
      </c>
      <c r="B11" s="15">
        <f>'GS Pay Calculator'!H24</f>
        <v>53990</v>
      </c>
      <c r="C11" s="15">
        <f>B11+'GS Pay Calculator'!$I24</f>
        <v>55790</v>
      </c>
      <c r="D11" s="15">
        <f>C11+'GS Pay Calculator'!$I24</f>
        <v>57590</v>
      </c>
      <c r="E11" s="15">
        <f>D11+'GS Pay Calculator'!$I24</f>
        <v>59390</v>
      </c>
      <c r="F11" s="15">
        <f>E11+'GS Pay Calculator'!$I24</f>
        <v>61190</v>
      </c>
      <c r="G11" s="15">
        <f>F11+'GS Pay Calculator'!$I24</f>
        <v>62990</v>
      </c>
      <c r="H11" s="15">
        <f>G11+'GS Pay Calculator'!$I24</f>
        <v>64790</v>
      </c>
      <c r="I11" s="15">
        <f>H11+'GS Pay Calculator'!$I24</f>
        <v>66590</v>
      </c>
      <c r="J11" s="15">
        <f>I11+'GS Pay Calculator'!$I24</f>
        <v>68390</v>
      </c>
      <c r="K11" s="15">
        <f>J11+'GS Pay Calculator'!$I24</f>
        <v>70190</v>
      </c>
    </row>
    <row r="12" spans="1:11" s="1" customFormat="1" x14ac:dyDescent="0.25">
      <c r="A12" s="4">
        <v>11</v>
      </c>
      <c r="B12" s="15">
        <f>'GS Pay Calculator'!H25</f>
        <v>59319</v>
      </c>
      <c r="C12" s="15">
        <f>B12+'GS Pay Calculator'!$I25</f>
        <v>61296</v>
      </c>
      <c r="D12" s="15">
        <f>C12+'GS Pay Calculator'!$I25</f>
        <v>63273</v>
      </c>
      <c r="E12" s="15">
        <f>D12+'GS Pay Calculator'!$I25</f>
        <v>65250</v>
      </c>
      <c r="F12" s="15">
        <f>E12+'GS Pay Calculator'!$I25</f>
        <v>67227</v>
      </c>
      <c r="G12" s="15">
        <f>F12+'GS Pay Calculator'!$I25</f>
        <v>69204</v>
      </c>
      <c r="H12" s="15">
        <f>G12+'GS Pay Calculator'!$I25</f>
        <v>71181</v>
      </c>
      <c r="I12" s="15">
        <f>H12+'GS Pay Calculator'!$I25</f>
        <v>73158</v>
      </c>
      <c r="J12" s="15">
        <f>I12+'GS Pay Calculator'!$I25</f>
        <v>75135</v>
      </c>
      <c r="K12" s="15">
        <f>J12+'GS Pay Calculator'!$I25</f>
        <v>77112</v>
      </c>
    </row>
    <row r="13" spans="1:11" s="1" customFormat="1" x14ac:dyDescent="0.25">
      <c r="A13" s="4">
        <v>12</v>
      </c>
      <c r="B13" s="15">
        <f>'GS Pay Calculator'!H26</f>
        <v>71099</v>
      </c>
      <c r="C13" s="15">
        <f>B13+'GS Pay Calculator'!$I26</f>
        <v>73469</v>
      </c>
      <c r="D13" s="15">
        <f>C13+'GS Pay Calculator'!$I26</f>
        <v>75839</v>
      </c>
      <c r="E13" s="15">
        <f>D13+'GS Pay Calculator'!$I26</f>
        <v>78209</v>
      </c>
      <c r="F13" s="15">
        <f>E13+'GS Pay Calculator'!$I26</f>
        <v>80579</v>
      </c>
      <c r="G13" s="15">
        <f>F13+'GS Pay Calculator'!$I26</f>
        <v>82949</v>
      </c>
      <c r="H13" s="15">
        <f>G13+'GS Pay Calculator'!$I26</f>
        <v>85319</v>
      </c>
      <c r="I13" s="15">
        <f>H13+'GS Pay Calculator'!$I26</f>
        <v>87689</v>
      </c>
      <c r="J13" s="15">
        <f>I13+'GS Pay Calculator'!$I26</f>
        <v>90059</v>
      </c>
      <c r="K13" s="15">
        <f>J13+'GS Pay Calculator'!$I26</f>
        <v>92429</v>
      </c>
    </row>
    <row r="14" spans="1:11" s="1" customFormat="1" x14ac:dyDescent="0.25">
      <c r="A14" s="4">
        <v>13</v>
      </c>
      <c r="B14" s="15">
        <f>'GS Pay Calculator'!H27</f>
        <v>84546</v>
      </c>
      <c r="C14" s="15">
        <f>B14+'GS Pay Calculator'!$I27</f>
        <v>87364</v>
      </c>
      <c r="D14" s="15">
        <f>C14+'GS Pay Calculator'!$I27</f>
        <v>90182</v>
      </c>
      <c r="E14" s="15">
        <f>D14+'GS Pay Calculator'!$I27</f>
        <v>93000</v>
      </c>
      <c r="F14" s="15">
        <f>E14+'GS Pay Calculator'!$I27</f>
        <v>95818</v>
      </c>
      <c r="G14" s="15">
        <f>F14+'GS Pay Calculator'!$I27</f>
        <v>98636</v>
      </c>
      <c r="H14" s="15">
        <f>G14+'GS Pay Calculator'!$I27</f>
        <v>101454</v>
      </c>
      <c r="I14" s="15">
        <f>H14+'GS Pay Calculator'!$I27</f>
        <v>104272</v>
      </c>
      <c r="J14" s="15">
        <f>I14+'GS Pay Calculator'!$I27</f>
        <v>107090</v>
      </c>
      <c r="K14" s="15">
        <f>J14+'GS Pay Calculator'!$I27</f>
        <v>109908</v>
      </c>
    </row>
    <row r="15" spans="1:11" s="1" customFormat="1" x14ac:dyDescent="0.25">
      <c r="A15" s="4">
        <v>14</v>
      </c>
      <c r="B15" s="15">
        <f>'GS Pay Calculator'!H28</f>
        <v>99908</v>
      </c>
      <c r="C15" s="15">
        <f>B15+'GS Pay Calculator'!$I28</f>
        <v>103238</v>
      </c>
      <c r="D15" s="15">
        <f>C15+'GS Pay Calculator'!$I28</f>
        <v>106568</v>
      </c>
      <c r="E15" s="15">
        <f>D15+'GS Pay Calculator'!$I28</f>
        <v>109898</v>
      </c>
      <c r="F15" s="15">
        <f>E15+'GS Pay Calculator'!$I28</f>
        <v>113228</v>
      </c>
      <c r="G15" s="15">
        <f>F15+'GS Pay Calculator'!$I28</f>
        <v>116558</v>
      </c>
      <c r="H15" s="15">
        <f>G15+'GS Pay Calculator'!$I28</f>
        <v>119888</v>
      </c>
      <c r="I15" s="15">
        <f>H15+'GS Pay Calculator'!$I28</f>
        <v>123218</v>
      </c>
      <c r="J15" s="15">
        <f>I15+'GS Pay Calculator'!$I28</f>
        <v>126548</v>
      </c>
      <c r="K15" s="15">
        <f>J15+'GS Pay Calculator'!$I28</f>
        <v>129878</v>
      </c>
    </row>
    <row r="20" spans="1:11" x14ac:dyDescent="0.25">
      <c r="E20" s="173" t="s">
        <v>183</v>
      </c>
      <c r="F20" s="173"/>
      <c r="G20" s="173"/>
      <c r="H20" s="173"/>
    </row>
    <row r="21" spans="1:11" x14ac:dyDescent="0.25">
      <c r="A21" s="139">
        <v>3</v>
      </c>
      <c r="B21" s="139">
        <v>33906</v>
      </c>
      <c r="C21" s="139">
        <v>34765</v>
      </c>
      <c r="D21" s="139">
        <v>35624</v>
      </c>
      <c r="E21" s="139">
        <v>36483</v>
      </c>
      <c r="F21" s="139">
        <v>37342</v>
      </c>
      <c r="G21" s="139">
        <v>38201</v>
      </c>
      <c r="H21" s="139">
        <v>39060</v>
      </c>
      <c r="I21" s="139">
        <v>39919</v>
      </c>
      <c r="J21" s="139">
        <v>40778</v>
      </c>
      <c r="K21" s="139">
        <v>41637</v>
      </c>
    </row>
    <row r="22" spans="1:11" x14ac:dyDescent="0.25">
      <c r="A22" s="139">
        <v>4</v>
      </c>
      <c r="B22" s="139">
        <v>34584</v>
      </c>
      <c r="C22" s="139">
        <v>35548</v>
      </c>
      <c r="D22" s="139">
        <v>36512</v>
      </c>
      <c r="E22" s="139">
        <v>37476</v>
      </c>
      <c r="F22" s="139">
        <v>38440</v>
      </c>
      <c r="G22" s="139">
        <v>39404</v>
      </c>
      <c r="H22" s="139"/>
      <c r="I22" s="139"/>
      <c r="J22" s="139"/>
      <c r="K22" s="139"/>
    </row>
  </sheetData>
  <sheetProtection algorithmName="SHA-512" hashValue="w9HYziCQ5VAB9CU7ps4X3Zp4lHyU4VwOyhymwbfHECLIEMdKCgyVuF8MGwqA4au9CfM5YFh6R6S8FSzFIJ667A==" saltValue="mpkM+IWLpkY7UU3emBBCbw==" spinCount="100000" sheet="1" objects="1" scenarios="1"/>
  <mergeCells count="2">
    <mergeCell ref="B2:K2"/>
    <mergeCell ref="E20:H20"/>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8"/>
  <sheetViews>
    <sheetView showGridLines="0" zoomScaleNormal="100" workbookViewId="0">
      <selection activeCell="B2" sqref="B2"/>
    </sheetView>
  </sheetViews>
  <sheetFormatPr defaultColWidth="9.109375" defaultRowHeight="13.2" x14ac:dyDescent="0.25"/>
  <cols>
    <col min="1" max="1" width="50.5546875" style="32" customWidth="1"/>
    <col min="2" max="6" width="15.6640625" style="32" customWidth="1"/>
    <col min="7" max="16384" width="9.109375" style="32"/>
  </cols>
  <sheetData>
    <row r="1" spans="1:6" ht="15" customHeight="1" x14ac:dyDescent="0.25">
      <c r="A1" s="27" t="s">
        <v>98</v>
      </c>
      <c r="B1" s="27" t="s">
        <v>99</v>
      </c>
      <c r="C1" s="28" t="s">
        <v>161</v>
      </c>
      <c r="D1" s="29" t="s">
        <v>91</v>
      </c>
      <c r="E1" s="29" t="s">
        <v>92</v>
      </c>
      <c r="F1" s="29" t="s">
        <v>162</v>
      </c>
    </row>
    <row r="2" spans="1:6" ht="15" customHeight="1" x14ac:dyDescent="0.25">
      <c r="A2" s="33" t="s">
        <v>77</v>
      </c>
      <c r="B2" s="30">
        <v>0.16500000000000001</v>
      </c>
      <c r="C2" s="30">
        <f t="shared" ref="C2:C49" si="0">IF((E2+F2)&gt;0.25,0.25,E2+F2)</f>
        <v>0</v>
      </c>
      <c r="D2" s="30">
        <v>0</v>
      </c>
      <c r="E2" s="31">
        <f t="shared" ref="E2:E62" si="1">IF((ROUND(D2-(B2*0.65),4)/(1+B2))&lt;0,0,ROUND(D2-(B2*0.65),4)/(1+B2))</f>
        <v>0</v>
      </c>
      <c r="F2" s="31">
        <v>0</v>
      </c>
    </row>
    <row r="3" spans="1:6" ht="15" customHeight="1" x14ac:dyDescent="0.25">
      <c r="A3" s="33" t="s">
        <v>94</v>
      </c>
      <c r="B3" s="30">
        <v>0.31319999999999998</v>
      </c>
      <c r="C3" s="30">
        <f t="shared" si="0"/>
        <v>2.0103563813585138E-2</v>
      </c>
      <c r="D3" s="31">
        <v>0.23</v>
      </c>
      <c r="E3" s="31">
        <f>IF((ROUND(D3-(B3*0.65),4)/(1+B3))&lt;0,0,ROUND(D3-(B3*0.65),4)/(1+B3))</f>
        <v>2.0103563813585138E-2</v>
      </c>
      <c r="F3" s="31">
        <v>0</v>
      </c>
    </row>
    <row r="4" spans="1:6" ht="15" customHeight="1" x14ac:dyDescent="0.25">
      <c r="A4" s="33" t="s">
        <v>95</v>
      </c>
      <c r="B4" s="30">
        <v>0.31319999999999998</v>
      </c>
      <c r="C4" s="30">
        <f t="shared" si="0"/>
        <v>3.5333536399634477E-2</v>
      </c>
      <c r="D4" s="30">
        <v>0.25</v>
      </c>
      <c r="E4" s="30">
        <f>IF((ROUND(D4-(B4*0.65),4)/(1+B4))&lt;0,0,ROUND(D4-(B4*0.65),4)/(1+B4))</f>
        <v>3.5333536399634477E-2</v>
      </c>
      <c r="F4" s="30">
        <v>0</v>
      </c>
    </row>
    <row r="5" spans="1:6" ht="15" customHeight="1" x14ac:dyDescent="0.25">
      <c r="A5" s="34" t="s">
        <v>155</v>
      </c>
      <c r="B5" s="30">
        <v>0.19450000000000001</v>
      </c>
      <c r="C5" s="30">
        <f t="shared" si="0"/>
        <v>0</v>
      </c>
      <c r="D5" s="30">
        <v>0</v>
      </c>
      <c r="E5" s="31">
        <f t="shared" si="1"/>
        <v>0</v>
      </c>
      <c r="F5" s="31">
        <v>0</v>
      </c>
    </row>
    <row r="6" spans="1:6" ht="15" customHeight="1" x14ac:dyDescent="0.25">
      <c r="A6" s="33" t="s">
        <v>112</v>
      </c>
      <c r="B6" s="30">
        <v>0.17630000000000001</v>
      </c>
      <c r="C6" s="30">
        <f t="shared" si="0"/>
        <v>0</v>
      </c>
      <c r="D6" s="30">
        <v>0</v>
      </c>
      <c r="E6" s="31">
        <f t="shared" si="1"/>
        <v>0</v>
      </c>
      <c r="F6" s="31">
        <v>0</v>
      </c>
    </row>
    <row r="7" spans="1:6" ht="15" customHeight="1" x14ac:dyDescent="0.25">
      <c r="A7" s="33" t="s">
        <v>113</v>
      </c>
      <c r="B7" s="30">
        <v>0.23019999999999999</v>
      </c>
      <c r="C7" s="30">
        <f t="shared" si="0"/>
        <v>0</v>
      </c>
      <c r="D7" s="30">
        <v>0</v>
      </c>
      <c r="E7" s="31">
        <f t="shared" si="1"/>
        <v>0</v>
      </c>
      <c r="F7" s="31">
        <v>0</v>
      </c>
    </row>
    <row r="8" spans="1:6" ht="15" customHeight="1" x14ac:dyDescent="0.25">
      <c r="A8" s="33" t="s">
        <v>114</v>
      </c>
      <c r="B8" s="30">
        <v>0.19400000000000001</v>
      </c>
      <c r="C8" s="30">
        <f t="shared" si="0"/>
        <v>0</v>
      </c>
      <c r="D8" s="30">
        <v>0</v>
      </c>
      <c r="E8" s="31">
        <f t="shared" si="1"/>
        <v>0</v>
      </c>
      <c r="F8" s="31">
        <v>0</v>
      </c>
    </row>
    <row r="9" spans="1:6" ht="15" customHeight="1" x14ac:dyDescent="0.25">
      <c r="A9" s="34" t="s">
        <v>154</v>
      </c>
      <c r="B9" s="30">
        <v>0.1741</v>
      </c>
      <c r="C9" s="30">
        <f t="shared" ref="C9" si="2">IF((E9+F9)&gt;0.25,0.25,E9+F9)</f>
        <v>0</v>
      </c>
      <c r="D9" s="30">
        <v>0</v>
      </c>
      <c r="E9" s="31">
        <f t="shared" ref="E9" si="3">IF((ROUND(D9-(B9*0.65),4)/(1+B9))&lt;0,0,ROUND(D9-(B9*0.65),4)/(1+B9))</f>
        <v>0</v>
      </c>
      <c r="F9" s="31">
        <v>0</v>
      </c>
    </row>
    <row r="10" spans="1:6" ht="15" customHeight="1" x14ac:dyDescent="0.25">
      <c r="A10" s="34" t="s">
        <v>156</v>
      </c>
      <c r="B10" s="30">
        <v>0.3105</v>
      </c>
      <c r="C10" s="30">
        <f t="shared" si="0"/>
        <v>0</v>
      </c>
      <c r="D10" s="30">
        <v>0</v>
      </c>
      <c r="E10" s="31">
        <f t="shared" si="1"/>
        <v>0</v>
      </c>
      <c r="F10" s="31">
        <v>0</v>
      </c>
    </row>
    <row r="11" spans="1:6" ht="15" customHeight="1" x14ac:dyDescent="0.25">
      <c r="A11" s="33" t="s">
        <v>115</v>
      </c>
      <c r="B11" s="30">
        <v>0.2135</v>
      </c>
      <c r="C11" s="30">
        <f t="shared" si="0"/>
        <v>0</v>
      </c>
      <c r="D11" s="30">
        <v>0</v>
      </c>
      <c r="E11" s="31">
        <f t="shared" si="1"/>
        <v>0</v>
      </c>
      <c r="F11" s="31">
        <v>0</v>
      </c>
    </row>
    <row r="12" spans="1:6" ht="15" customHeight="1" x14ac:dyDescent="0.25">
      <c r="A12" s="34" t="s">
        <v>157</v>
      </c>
      <c r="B12" s="30">
        <v>0.18310000000000001</v>
      </c>
      <c r="C12" s="30">
        <f t="shared" ref="C12" si="4">IF((E12+F12)&gt;0.25,0.25,E12+F12)</f>
        <v>0</v>
      </c>
      <c r="D12" s="30">
        <v>0</v>
      </c>
      <c r="E12" s="31">
        <f t="shared" ref="E12" si="5">IF((ROUND(D12-(B12*0.65),4)/(1+B12))&lt;0,0,ROUND(D12-(B12*0.65),4)/(1+B12))</f>
        <v>0</v>
      </c>
      <c r="F12" s="31">
        <v>0</v>
      </c>
    </row>
    <row r="13" spans="1:6" ht="15" customHeight="1" x14ac:dyDescent="0.25">
      <c r="A13" s="33" t="s">
        <v>116</v>
      </c>
      <c r="B13" s="30">
        <v>0.18629999999999999</v>
      </c>
      <c r="C13" s="30">
        <f t="shared" si="0"/>
        <v>0</v>
      </c>
      <c r="D13" s="30">
        <v>0</v>
      </c>
      <c r="E13" s="31">
        <f t="shared" si="1"/>
        <v>0</v>
      </c>
      <c r="F13" s="31">
        <v>0</v>
      </c>
    </row>
    <row r="14" spans="1:6" ht="15" customHeight="1" x14ac:dyDescent="0.25">
      <c r="A14" s="33" t="s">
        <v>117</v>
      </c>
      <c r="B14" s="30">
        <v>0.2979</v>
      </c>
      <c r="C14" s="30">
        <f t="shared" si="0"/>
        <v>0</v>
      </c>
      <c r="D14" s="30">
        <v>0</v>
      </c>
      <c r="E14" s="31">
        <f t="shared" si="1"/>
        <v>0</v>
      </c>
      <c r="F14" s="31">
        <v>0</v>
      </c>
    </row>
    <row r="15" spans="1:6" ht="15" customHeight="1" x14ac:dyDescent="0.25">
      <c r="A15" s="33" t="s">
        <v>118</v>
      </c>
      <c r="B15" s="30">
        <v>0.2135</v>
      </c>
      <c r="C15" s="30">
        <f t="shared" si="0"/>
        <v>0</v>
      </c>
      <c r="D15" s="30">
        <v>0</v>
      </c>
      <c r="E15" s="31">
        <f t="shared" si="1"/>
        <v>0</v>
      </c>
      <c r="F15" s="31">
        <v>0</v>
      </c>
    </row>
    <row r="16" spans="1:6" ht="15" customHeight="1" x14ac:dyDescent="0.25">
      <c r="A16" s="33" t="s">
        <v>119</v>
      </c>
      <c r="B16" s="30">
        <v>0.21690000000000001</v>
      </c>
      <c r="C16" s="30">
        <f t="shared" si="0"/>
        <v>0</v>
      </c>
      <c r="D16" s="30">
        <v>0</v>
      </c>
      <c r="E16" s="31">
        <f t="shared" si="1"/>
        <v>0</v>
      </c>
      <c r="F16" s="31">
        <v>0</v>
      </c>
    </row>
    <row r="17" spans="1:6" ht="15" customHeight="1" x14ac:dyDescent="0.25">
      <c r="A17" s="33" t="s">
        <v>120</v>
      </c>
      <c r="B17" s="30">
        <v>0.19109999999999999</v>
      </c>
      <c r="C17" s="30">
        <f t="shared" si="0"/>
        <v>0</v>
      </c>
      <c r="D17" s="30">
        <v>0</v>
      </c>
      <c r="E17" s="31">
        <f t="shared" si="1"/>
        <v>0</v>
      </c>
      <c r="F17" s="31">
        <v>0</v>
      </c>
    </row>
    <row r="18" spans="1:6" ht="15" customHeight="1" x14ac:dyDescent="0.25">
      <c r="A18" s="33" t="s">
        <v>121</v>
      </c>
      <c r="B18" s="30">
        <v>0.2127</v>
      </c>
      <c r="C18" s="30">
        <f t="shared" si="0"/>
        <v>0</v>
      </c>
      <c r="D18" s="30">
        <v>0</v>
      </c>
      <c r="E18" s="31">
        <f t="shared" si="1"/>
        <v>0</v>
      </c>
      <c r="F18" s="31">
        <v>0</v>
      </c>
    </row>
    <row r="19" spans="1:6" ht="15" customHeight="1" x14ac:dyDescent="0.25">
      <c r="A19" s="34" t="s">
        <v>164</v>
      </c>
      <c r="B19" s="30">
        <v>0.17100000000000001</v>
      </c>
      <c r="C19" s="30">
        <v>0</v>
      </c>
      <c r="D19" s="30">
        <v>0</v>
      </c>
      <c r="E19" s="31">
        <v>0</v>
      </c>
      <c r="F19" s="31">
        <v>0</v>
      </c>
    </row>
    <row r="20" spans="1:6" ht="15" customHeight="1" x14ac:dyDescent="0.25">
      <c r="A20" s="33" t="s">
        <v>122</v>
      </c>
      <c r="B20" s="30">
        <v>0.26369999999999999</v>
      </c>
      <c r="C20" s="30">
        <f t="shared" ref="C20:C27" si="6">IF((E20+F20)&gt;0.25,0.25,E20+F20)</f>
        <v>0</v>
      </c>
      <c r="D20" s="30">
        <v>0</v>
      </c>
      <c r="E20" s="31">
        <f t="shared" ref="E20:E27" si="7">IF((ROUND(D20-(B20*0.65),4)/(1+B20))&lt;0,0,ROUND(D20-(B20*0.65),4)/(1+B20))</f>
        <v>0</v>
      </c>
      <c r="F20" s="31">
        <v>0</v>
      </c>
    </row>
    <row r="21" spans="1:6" ht="15" customHeight="1" x14ac:dyDescent="0.25">
      <c r="A21" s="33" t="s">
        <v>123</v>
      </c>
      <c r="B21" s="30">
        <v>0.18210000000000001</v>
      </c>
      <c r="C21" s="30">
        <f t="shared" si="6"/>
        <v>0</v>
      </c>
      <c r="D21" s="30">
        <v>0</v>
      </c>
      <c r="E21" s="31">
        <f t="shared" si="7"/>
        <v>0</v>
      </c>
      <c r="F21" s="31">
        <v>0</v>
      </c>
    </row>
    <row r="22" spans="1:6" ht="15" customHeight="1" x14ac:dyDescent="0.25">
      <c r="A22" s="33" t="s">
        <v>124</v>
      </c>
      <c r="B22" s="30">
        <v>0.2059</v>
      </c>
      <c r="C22" s="30">
        <f t="shared" si="6"/>
        <v>0</v>
      </c>
      <c r="D22" s="30">
        <v>0</v>
      </c>
      <c r="E22" s="31">
        <f t="shared" si="7"/>
        <v>0</v>
      </c>
      <c r="F22" s="31">
        <v>0</v>
      </c>
    </row>
    <row r="23" spans="1:6" ht="15" customHeight="1" x14ac:dyDescent="0.25">
      <c r="A23" s="33" t="s">
        <v>125</v>
      </c>
      <c r="B23" s="30">
        <v>0.29049999999999998</v>
      </c>
      <c r="C23" s="30">
        <f t="shared" si="6"/>
        <v>0</v>
      </c>
      <c r="D23" s="30">
        <v>0</v>
      </c>
      <c r="E23" s="31">
        <f t="shared" si="7"/>
        <v>0</v>
      </c>
      <c r="F23" s="31">
        <v>0</v>
      </c>
    </row>
    <row r="24" spans="1:6" ht="15" customHeight="1" x14ac:dyDescent="0.25">
      <c r="A24" s="34" t="s">
        <v>180</v>
      </c>
      <c r="B24" s="30">
        <v>0.17130000000000001</v>
      </c>
      <c r="C24" s="30">
        <f t="shared" ref="C24" si="8">IF((E24+F24)&gt;0.25,0.25,E24+F24)</f>
        <v>0</v>
      </c>
      <c r="D24" s="30">
        <v>0</v>
      </c>
      <c r="E24" s="31">
        <f t="shared" ref="E24" si="9">IF((ROUND(D24-(B24*0.65),4)/(1+B24))&lt;0,0,ROUND(D24-(B24*0.65),4)/(1+B24))</f>
        <v>0</v>
      </c>
      <c r="F24" s="31">
        <v>0</v>
      </c>
    </row>
    <row r="25" spans="1:6" ht="15" customHeight="1" x14ac:dyDescent="0.25">
      <c r="A25" s="33" t="s">
        <v>126</v>
      </c>
      <c r="B25" s="30">
        <v>0.28370000000000001</v>
      </c>
      <c r="C25" s="30">
        <f t="shared" si="6"/>
        <v>0</v>
      </c>
      <c r="D25" s="30">
        <v>0</v>
      </c>
      <c r="E25" s="31">
        <f t="shared" si="7"/>
        <v>0</v>
      </c>
      <c r="F25" s="31">
        <v>0</v>
      </c>
    </row>
    <row r="26" spans="1:6" ht="15" customHeight="1" x14ac:dyDescent="0.25">
      <c r="A26" s="33" t="s">
        <v>127</v>
      </c>
      <c r="B26" s="30">
        <v>0.18590000000000001</v>
      </c>
      <c r="C26" s="30">
        <f t="shared" si="6"/>
        <v>0</v>
      </c>
      <c r="D26" s="30">
        <v>0</v>
      </c>
      <c r="E26" s="31">
        <f t="shared" si="7"/>
        <v>0</v>
      </c>
      <c r="F26" s="31">
        <v>0</v>
      </c>
    </row>
    <row r="27" spans="1:6" ht="15" customHeight="1" x14ac:dyDescent="0.25">
      <c r="A27" s="33" t="s">
        <v>128</v>
      </c>
      <c r="B27" s="30">
        <v>0.30909999999999999</v>
      </c>
      <c r="C27" s="30">
        <f t="shared" si="6"/>
        <v>0</v>
      </c>
      <c r="D27" s="30">
        <v>0</v>
      </c>
      <c r="E27" s="31">
        <f t="shared" si="7"/>
        <v>0</v>
      </c>
      <c r="F27" s="31">
        <v>0</v>
      </c>
    </row>
    <row r="28" spans="1:6" ht="15" customHeight="1" x14ac:dyDescent="0.25">
      <c r="A28" s="33" t="s">
        <v>97</v>
      </c>
      <c r="B28" s="30">
        <v>0.2117</v>
      </c>
      <c r="C28" s="30">
        <f t="shared" si="0"/>
        <v>9.2762234876619623E-2</v>
      </c>
      <c r="D28" s="30">
        <v>0.25</v>
      </c>
      <c r="E28" s="30">
        <f>IF((ROUND(D28-(B28*0.65),4)/(1+B28))&lt;0,0,ROUND(D28-(B28*0.65),4)/(1+B28))</f>
        <v>9.2762234876619623E-2</v>
      </c>
      <c r="F28" s="30">
        <v>0</v>
      </c>
    </row>
    <row r="29" spans="1:6" ht="15" customHeight="1" x14ac:dyDescent="0.25">
      <c r="A29" s="33" t="s">
        <v>96</v>
      </c>
      <c r="B29" s="30">
        <v>0.2117</v>
      </c>
      <c r="C29" s="30">
        <f>IF((E29+F29)&gt;0.25,0.25,E29+F29)</f>
        <v>3.4992159775521996E-2</v>
      </c>
      <c r="D29" s="30">
        <v>0.18</v>
      </c>
      <c r="E29" s="30">
        <f>IF((ROUND(D29-(B29*0.65),4)/(1+B29))&lt;0,0,ROUND(D29-(B29*0.65),4)/(1+B29))</f>
        <v>3.4992159775521996E-2</v>
      </c>
      <c r="F29" s="30">
        <v>0</v>
      </c>
    </row>
    <row r="30" spans="1:6" ht="15" customHeight="1" x14ac:dyDescent="0.25">
      <c r="A30" s="33" t="s">
        <v>129</v>
      </c>
      <c r="B30" s="30">
        <v>0.34470000000000001</v>
      </c>
      <c r="C30" s="30">
        <f t="shared" si="0"/>
        <v>0</v>
      </c>
      <c r="D30" s="30">
        <v>0</v>
      </c>
      <c r="E30" s="31">
        <f t="shared" si="1"/>
        <v>0</v>
      </c>
      <c r="F30" s="31">
        <v>0</v>
      </c>
    </row>
    <row r="31" spans="1:6" ht="15" customHeight="1" x14ac:dyDescent="0.25">
      <c r="A31" s="33" t="s">
        <v>130</v>
      </c>
      <c r="B31" s="30">
        <v>0.20960000000000001</v>
      </c>
      <c r="C31" s="30">
        <f t="shared" si="0"/>
        <v>0</v>
      </c>
      <c r="D31" s="30">
        <v>0</v>
      </c>
      <c r="E31" s="31">
        <f t="shared" si="1"/>
        <v>0</v>
      </c>
      <c r="F31" s="31">
        <v>0</v>
      </c>
    </row>
    <row r="32" spans="1:6" ht="15" customHeight="1" x14ac:dyDescent="0.25">
      <c r="A32" s="33" t="s">
        <v>131</v>
      </c>
      <c r="B32" s="30">
        <v>0.1757</v>
      </c>
      <c r="C32" s="30">
        <f t="shared" si="0"/>
        <v>0</v>
      </c>
      <c r="D32" s="30">
        <v>0</v>
      </c>
      <c r="E32" s="31">
        <f t="shared" si="1"/>
        <v>0</v>
      </c>
      <c r="F32" s="31">
        <v>0</v>
      </c>
    </row>
    <row r="33" spans="1:6" ht="15" customHeight="1" x14ac:dyDescent="0.25">
      <c r="A33" s="33" t="s">
        <v>132</v>
      </c>
      <c r="B33" s="30">
        <v>0.18179999999999999</v>
      </c>
      <c r="C33" s="30">
        <f t="shared" si="0"/>
        <v>0</v>
      </c>
      <c r="D33" s="30">
        <v>0</v>
      </c>
      <c r="E33" s="31">
        <f t="shared" si="1"/>
        <v>0</v>
      </c>
      <c r="F33" s="31">
        <v>0</v>
      </c>
    </row>
    <row r="34" spans="1:6" ht="15" customHeight="1" x14ac:dyDescent="0.25">
      <c r="A34" s="33" t="s">
        <v>133</v>
      </c>
      <c r="B34" s="30">
        <v>0.2064</v>
      </c>
      <c r="C34" s="30">
        <f t="shared" si="0"/>
        <v>0</v>
      </c>
      <c r="D34" s="30">
        <v>0</v>
      </c>
      <c r="E34" s="31">
        <f t="shared" si="1"/>
        <v>0</v>
      </c>
      <c r="F34" s="31">
        <v>0</v>
      </c>
    </row>
    <row r="35" spans="1:6" ht="15" customHeight="1" x14ac:dyDescent="0.25">
      <c r="A35" s="33" t="s">
        <v>134</v>
      </c>
      <c r="B35" s="30">
        <v>0.18759999999999999</v>
      </c>
      <c r="C35" s="30">
        <f t="shared" si="0"/>
        <v>0</v>
      </c>
      <c r="D35" s="30">
        <v>0</v>
      </c>
      <c r="E35" s="31">
        <f t="shared" si="1"/>
        <v>0</v>
      </c>
      <c r="F35" s="31">
        <v>0</v>
      </c>
    </row>
    <row r="36" spans="1:6" ht="15" customHeight="1" x14ac:dyDescent="0.25">
      <c r="A36" s="33" t="s">
        <v>135</v>
      </c>
      <c r="B36" s="30">
        <v>0.34889999999999999</v>
      </c>
      <c r="C36" s="30">
        <f t="shared" si="0"/>
        <v>0</v>
      </c>
      <c r="D36" s="30">
        <v>0</v>
      </c>
      <c r="E36" s="31">
        <f t="shared" si="1"/>
        <v>0</v>
      </c>
      <c r="F36" s="31">
        <v>0</v>
      </c>
    </row>
    <row r="37" spans="1:6" ht="15" customHeight="1" x14ac:dyDescent="0.25">
      <c r="A37" s="33" t="s">
        <v>136</v>
      </c>
      <c r="B37" s="30">
        <v>0.2414</v>
      </c>
      <c r="C37" s="30">
        <f t="shared" si="0"/>
        <v>0</v>
      </c>
      <c r="D37" s="30">
        <v>0</v>
      </c>
      <c r="E37" s="31">
        <f t="shared" si="1"/>
        <v>0</v>
      </c>
      <c r="F37" s="31">
        <v>0</v>
      </c>
    </row>
    <row r="38" spans="1:6" ht="15" customHeight="1" x14ac:dyDescent="0.25">
      <c r="A38" s="33" t="s">
        <v>137</v>
      </c>
      <c r="B38" s="30">
        <v>0.21740000000000001</v>
      </c>
      <c r="C38" s="30">
        <f t="shared" si="0"/>
        <v>0</v>
      </c>
      <c r="D38" s="30">
        <v>0</v>
      </c>
      <c r="E38" s="31">
        <f t="shared" si="1"/>
        <v>0</v>
      </c>
      <c r="F38" s="31">
        <v>0</v>
      </c>
    </row>
    <row r="39" spans="1:6" ht="15" customHeight="1" x14ac:dyDescent="0.25">
      <c r="A39" s="33" t="s">
        <v>138</v>
      </c>
      <c r="B39" s="30">
        <v>0.26390000000000002</v>
      </c>
      <c r="C39" s="30">
        <f t="shared" si="0"/>
        <v>0</v>
      </c>
      <c r="D39" s="30">
        <v>0</v>
      </c>
      <c r="E39" s="31">
        <f t="shared" si="1"/>
        <v>0</v>
      </c>
      <c r="F39" s="31">
        <v>0</v>
      </c>
    </row>
    <row r="40" spans="1:6" ht="15" customHeight="1" x14ac:dyDescent="0.25">
      <c r="A40" s="33" t="s">
        <v>139</v>
      </c>
      <c r="B40" s="30">
        <v>0.36159999999999998</v>
      </c>
      <c r="C40" s="30">
        <f t="shared" si="0"/>
        <v>0</v>
      </c>
      <c r="D40" s="30">
        <v>0</v>
      </c>
      <c r="E40" s="31">
        <f t="shared" si="1"/>
        <v>0</v>
      </c>
      <c r="F40" s="31">
        <v>0</v>
      </c>
    </row>
    <row r="41" spans="1:6" ht="15" customHeight="1" x14ac:dyDescent="0.25">
      <c r="A41" s="34" t="s">
        <v>158</v>
      </c>
      <c r="B41" s="30">
        <v>0.17519999999999999</v>
      </c>
      <c r="C41" s="30">
        <f t="shared" ref="C41" si="10">IF((E41+F41)&gt;0.25,0.25,E41+F41)</f>
        <v>0</v>
      </c>
      <c r="D41" s="30">
        <v>0</v>
      </c>
      <c r="E41" s="31">
        <f t="shared" ref="E41" si="11">IF((ROUND(D41-(B41*0.65),4)/(1+B41))&lt;0,0,ROUND(D41-(B41*0.65),4)/(1+B41))</f>
        <v>0</v>
      </c>
      <c r="F41" s="31">
        <v>0</v>
      </c>
    </row>
    <row r="42" spans="1:6" ht="15" customHeight="1" x14ac:dyDescent="0.25">
      <c r="A42" s="33" t="s">
        <v>140</v>
      </c>
      <c r="B42" s="30">
        <v>0.17299999999999999</v>
      </c>
      <c r="C42" s="30">
        <f t="shared" si="0"/>
        <v>0</v>
      </c>
      <c r="D42" s="30">
        <v>0</v>
      </c>
      <c r="E42" s="31">
        <f t="shared" si="1"/>
        <v>0</v>
      </c>
      <c r="F42" s="31">
        <v>0</v>
      </c>
    </row>
    <row r="43" spans="1:6" ht="15" customHeight="1" x14ac:dyDescent="0.25">
      <c r="A43" s="33" t="s">
        <v>141</v>
      </c>
      <c r="B43" s="30">
        <v>0.27839999999999998</v>
      </c>
      <c r="C43" s="30">
        <f t="shared" si="0"/>
        <v>0</v>
      </c>
      <c r="D43" s="30">
        <v>0</v>
      </c>
      <c r="E43" s="31">
        <f t="shared" si="1"/>
        <v>0</v>
      </c>
      <c r="F43" s="31">
        <v>0</v>
      </c>
    </row>
    <row r="44" spans="1:6" ht="15" customHeight="1" x14ac:dyDescent="0.25">
      <c r="A44" s="33" t="s">
        <v>142</v>
      </c>
      <c r="B44" s="30">
        <v>0.21440000000000001</v>
      </c>
      <c r="C44" s="30">
        <f t="shared" si="0"/>
        <v>0</v>
      </c>
      <c r="D44" s="30">
        <v>0</v>
      </c>
      <c r="E44" s="31">
        <f t="shared" si="1"/>
        <v>0</v>
      </c>
      <c r="F44" s="31">
        <v>0</v>
      </c>
    </row>
    <row r="45" spans="1:6" ht="15" customHeight="1" x14ac:dyDescent="0.25">
      <c r="A45" s="33" t="s">
        <v>143</v>
      </c>
      <c r="B45" s="30">
        <v>0.20369999999999999</v>
      </c>
      <c r="C45" s="30">
        <f t="shared" si="0"/>
        <v>0</v>
      </c>
      <c r="D45" s="30">
        <v>0</v>
      </c>
      <c r="E45" s="31">
        <f t="shared" si="1"/>
        <v>0</v>
      </c>
      <c r="F45" s="31">
        <v>0</v>
      </c>
    </row>
    <row r="46" spans="1:6" ht="15" customHeight="1" x14ac:dyDescent="0.25">
      <c r="A46" s="33" t="s">
        <v>144</v>
      </c>
      <c r="B46" s="30">
        <v>0.24979999999999999</v>
      </c>
      <c r="C46" s="30">
        <f t="shared" si="0"/>
        <v>0</v>
      </c>
      <c r="D46" s="30">
        <v>0</v>
      </c>
      <c r="E46" s="31">
        <f t="shared" si="1"/>
        <v>0</v>
      </c>
      <c r="F46" s="31">
        <v>0</v>
      </c>
    </row>
    <row r="47" spans="1:6" ht="15" customHeight="1" x14ac:dyDescent="0.25">
      <c r="A47" s="33" t="s">
        <v>145</v>
      </c>
      <c r="B47" s="30">
        <v>0.2137</v>
      </c>
      <c r="C47" s="30">
        <f t="shared" si="0"/>
        <v>0</v>
      </c>
      <c r="D47" s="30">
        <v>0</v>
      </c>
      <c r="E47" s="31">
        <f t="shared" si="1"/>
        <v>0</v>
      </c>
      <c r="F47" s="31">
        <v>0</v>
      </c>
    </row>
    <row r="48" spans="1:6" ht="15" customHeight="1" x14ac:dyDescent="0.25">
      <c r="A48" s="33" t="s">
        <v>146</v>
      </c>
      <c r="B48" s="30">
        <v>0.21379999999999999</v>
      </c>
      <c r="C48" s="30">
        <f t="shared" si="0"/>
        <v>0</v>
      </c>
      <c r="D48" s="30">
        <v>0</v>
      </c>
      <c r="E48" s="31">
        <f t="shared" si="1"/>
        <v>0</v>
      </c>
      <c r="F48" s="31">
        <v>0</v>
      </c>
    </row>
    <row r="49" spans="1:6" ht="15" customHeight="1" x14ac:dyDescent="0.25">
      <c r="A49" s="35" t="s">
        <v>147</v>
      </c>
      <c r="B49" s="30">
        <v>0.28299999999999997</v>
      </c>
      <c r="C49" s="30">
        <f t="shared" si="0"/>
        <v>0</v>
      </c>
      <c r="D49" s="30">
        <v>0</v>
      </c>
      <c r="E49" s="31">
        <f t="shared" si="1"/>
        <v>0</v>
      </c>
      <c r="F49" s="31">
        <v>0</v>
      </c>
    </row>
    <row r="50" spans="1:6" ht="15" customHeight="1" x14ac:dyDescent="0.25">
      <c r="A50" s="34" t="s">
        <v>159</v>
      </c>
      <c r="B50" s="30">
        <v>0.18</v>
      </c>
      <c r="C50" s="30">
        <f t="shared" ref="C50" si="12">IF((E50+F50)&gt;0.25,0.25,E50+F50)</f>
        <v>0</v>
      </c>
      <c r="D50" s="30">
        <v>0</v>
      </c>
      <c r="E50" s="31">
        <f t="shared" ref="E50" si="13">IF((ROUND(D50-(B50*0.65),4)/(1+B50))&lt;0,0,ROUND(D50-(B50*0.65),4)/(1+B50))</f>
        <v>0</v>
      </c>
      <c r="F50" s="31">
        <v>0</v>
      </c>
    </row>
    <row r="51" spans="1:6" ht="15" customHeight="1" x14ac:dyDescent="0.25">
      <c r="A51" s="35" t="s">
        <v>148</v>
      </c>
      <c r="B51" s="30">
        <v>0.3201</v>
      </c>
      <c r="C51" s="30">
        <f t="shared" ref="C51:C57" si="14">IF((E51+F51)&gt;0.25,0.25,E51+F51)</f>
        <v>0</v>
      </c>
      <c r="D51" s="30">
        <v>0</v>
      </c>
      <c r="E51" s="31">
        <f t="shared" ref="E51:E57" si="15">IF((ROUND(D51-(B51*0.65),4)/(1+B51))&lt;0,0,ROUND(D51-(B51*0.65),4)/(1+B51))</f>
        <v>0</v>
      </c>
      <c r="F51" s="31">
        <v>0</v>
      </c>
    </row>
    <row r="52" spans="1:6" ht="15" customHeight="1" x14ac:dyDescent="0.25">
      <c r="A52" s="35" t="s">
        <v>149</v>
      </c>
      <c r="B52" s="30">
        <v>0.4415</v>
      </c>
      <c r="C52" s="30">
        <f t="shared" si="14"/>
        <v>0</v>
      </c>
      <c r="D52" s="30">
        <v>0</v>
      </c>
      <c r="E52" s="31">
        <f t="shared" si="15"/>
        <v>0</v>
      </c>
      <c r="F52" s="31">
        <v>0</v>
      </c>
    </row>
    <row r="53" spans="1:6" ht="15" customHeight="1" x14ac:dyDescent="0.25">
      <c r="A53" s="35" t="s">
        <v>150</v>
      </c>
      <c r="B53" s="30">
        <v>0.29570000000000002</v>
      </c>
      <c r="C53" s="30">
        <f t="shared" si="14"/>
        <v>0</v>
      </c>
      <c r="D53" s="30">
        <v>0</v>
      </c>
      <c r="E53" s="31">
        <f t="shared" si="15"/>
        <v>0</v>
      </c>
      <c r="F53" s="31">
        <v>0</v>
      </c>
    </row>
    <row r="54" spans="1:6" ht="15" customHeight="1" x14ac:dyDescent="0.25">
      <c r="A54" s="35" t="s">
        <v>151</v>
      </c>
      <c r="B54" s="30">
        <v>0.191</v>
      </c>
      <c r="C54" s="30">
        <f t="shared" si="14"/>
        <v>0</v>
      </c>
      <c r="D54" s="30">
        <v>0</v>
      </c>
      <c r="E54" s="31">
        <f t="shared" si="15"/>
        <v>0</v>
      </c>
      <c r="F54" s="31">
        <v>0</v>
      </c>
    </row>
    <row r="55" spans="1:6" ht="15" customHeight="1" x14ac:dyDescent="0.25">
      <c r="A55" s="35" t="s">
        <v>152</v>
      </c>
      <c r="B55" s="30">
        <v>0.184</v>
      </c>
      <c r="C55" s="30">
        <f t="shared" si="14"/>
        <v>0</v>
      </c>
      <c r="D55" s="30">
        <v>0</v>
      </c>
      <c r="E55" s="31">
        <f t="shared" si="15"/>
        <v>0</v>
      </c>
      <c r="F55" s="31">
        <v>0</v>
      </c>
    </row>
    <row r="56" spans="1:6" ht="15" customHeight="1" x14ac:dyDescent="0.25">
      <c r="A56" s="34" t="s">
        <v>160</v>
      </c>
      <c r="B56" s="30">
        <v>0.1794</v>
      </c>
      <c r="C56" s="30">
        <f t="shared" si="14"/>
        <v>0</v>
      </c>
      <c r="D56" s="30">
        <v>0</v>
      </c>
      <c r="E56" s="31">
        <f t="shared" si="15"/>
        <v>0</v>
      </c>
      <c r="F56" s="31">
        <v>0</v>
      </c>
    </row>
    <row r="57" spans="1:6" ht="15" customHeight="1" x14ac:dyDescent="0.25">
      <c r="A57" s="35" t="s">
        <v>153</v>
      </c>
      <c r="B57" s="30">
        <v>0.32490000000000002</v>
      </c>
      <c r="C57" s="30">
        <f t="shared" si="14"/>
        <v>0</v>
      </c>
      <c r="D57" s="30">
        <v>0</v>
      </c>
      <c r="E57" s="31">
        <f t="shared" si="15"/>
        <v>0</v>
      </c>
      <c r="F57" s="31">
        <v>0</v>
      </c>
    </row>
    <row r="58" spans="1:6" ht="15" customHeight="1" x14ac:dyDescent="0.25">
      <c r="A58" s="33" t="s">
        <v>61</v>
      </c>
      <c r="B58" s="30">
        <v>0.16500000000000001</v>
      </c>
      <c r="C58" s="30">
        <f t="shared" ref="C58:C63" si="16">IF((E58+F58)&gt;0.25,0.25,E58+F58)</f>
        <v>2.81E-2</v>
      </c>
      <c r="D58" s="30">
        <v>0.14000000000000001</v>
      </c>
      <c r="E58" s="141">
        <v>2.81E-2</v>
      </c>
      <c r="F58" s="30">
        <v>0</v>
      </c>
    </row>
    <row r="59" spans="1:6" ht="15" customHeight="1" x14ac:dyDescent="0.25">
      <c r="A59" s="33" t="s">
        <v>59</v>
      </c>
      <c r="B59" s="30">
        <v>0.16500000000000001</v>
      </c>
      <c r="C59" s="30">
        <f t="shared" si="16"/>
        <v>0.1225</v>
      </c>
      <c r="D59" s="30">
        <v>0.25</v>
      </c>
      <c r="E59" s="141">
        <v>0.1225</v>
      </c>
      <c r="F59" s="30">
        <v>0</v>
      </c>
    </row>
    <row r="60" spans="1:6" ht="15" customHeight="1" x14ac:dyDescent="0.25">
      <c r="A60" s="33" t="s">
        <v>73</v>
      </c>
      <c r="B60" s="30">
        <v>0.16500000000000001</v>
      </c>
      <c r="C60" s="30">
        <f t="shared" si="16"/>
        <v>0.25</v>
      </c>
      <c r="D60" s="30">
        <v>0</v>
      </c>
      <c r="E60" s="30">
        <f t="shared" si="1"/>
        <v>0</v>
      </c>
      <c r="F60" s="30">
        <v>0.25</v>
      </c>
    </row>
    <row r="61" spans="1:6" ht="15" customHeight="1" x14ac:dyDescent="0.25">
      <c r="A61" s="33" t="s">
        <v>74</v>
      </c>
      <c r="B61" s="30">
        <v>0.16500000000000001</v>
      </c>
      <c r="C61" s="30">
        <f t="shared" si="16"/>
        <v>0.25</v>
      </c>
      <c r="D61" s="30">
        <v>0</v>
      </c>
      <c r="E61" s="30">
        <f t="shared" si="1"/>
        <v>0</v>
      </c>
      <c r="F61" s="30">
        <v>0.25</v>
      </c>
    </row>
    <row r="62" spans="1:6" ht="15" customHeight="1" x14ac:dyDescent="0.25">
      <c r="A62" s="33" t="s">
        <v>75</v>
      </c>
      <c r="B62" s="30">
        <v>0.16500000000000001</v>
      </c>
      <c r="C62" s="30">
        <f t="shared" si="16"/>
        <v>0.25</v>
      </c>
      <c r="D62" s="30">
        <v>0</v>
      </c>
      <c r="E62" s="30">
        <f t="shared" si="1"/>
        <v>0</v>
      </c>
      <c r="F62" s="30">
        <v>0.25</v>
      </c>
    </row>
    <row r="63" spans="1:6" ht="15" customHeight="1" x14ac:dyDescent="0.25">
      <c r="A63" s="33" t="s">
        <v>60</v>
      </c>
      <c r="B63" s="30">
        <v>0.16500000000000001</v>
      </c>
      <c r="C63" s="30">
        <f t="shared" si="16"/>
        <v>0.25</v>
      </c>
      <c r="D63" s="30">
        <v>0.25</v>
      </c>
      <c r="E63" s="141">
        <v>0.1225</v>
      </c>
      <c r="F63" s="30">
        <v>0.2</v>
      </c>
    </row>
    <row r="64" spans="1:6" ht="15" customHeight="1" x14ac:dyDescent="0.25">
      <c r="A64" s="33" t="s">
        <v>76</v>
      </c>
      <c r="B64" s="30">
        <v>0.16500000000000001</v>
      </c>
      <c r="C64" s="30">
        <f>IF((E64+F64)&gt;0.25,0.25,E64+F64)</f>
        <v>0.25</v>
      </c>
      <c r="D64" s="30">
        <v>0</v>
      </c>
      <c r="E64" s="30">
        <f>IF((ROUND(D64-(B64*0.65),4)/(1+B64))&lt;0,0,ROUND(D64-(B64*0.65),4)/(1+B64))</f>
        <v>0</v>
      </c>
      <c r="F64" s="30">
        <v>0.25</v>
      </c>
    </row>
    <row r="65" spans="1:6" ht="15" customHeight="1" x14ac:dyDescent="0.25">
      <c r="A65" s="33" t="s">
        <v>64</v>
      </c>
      <c r="B65" s="30">
        <v>0</v>
      </c>
      <c r="C65" s="30">
        <f>IF((E65+F65)&gt;0.25,0.25,E65+F65)</f>
        <v>0</v>
      </c>
      <c r="D65" s="30">
        <v>0</v>
      </c>
      <c r="E65" s="31">
        <f>IF((ROUND(D65-(B65*0.65),4)/(1+B65))&lt;0,0,ROUND(D65-(B65*0.65),4)/(1+B65))</f>
        <v>0</v>
      </c>
      <c r="F65" s="31">
        <v>0</v>
      </c>
    </row>
    <row r="67" spans="1:6" x14ac:dyDescent="0.25">
      <c r="A67" s="36"/>
    </row>
    <row r="68" spans="1:6" x14ac:dyDescent="0.25">
      <c r="E68" s="142" t="s">
        <v>185</v>
      </c>
    </row>
  </sheetData>
  <sheetProtection algorithmName="SHA-512" hashValue="ED3az4rBPyNKs4VcQPBxjZcBuoTMCd1nIPpATJU5WVf+0/2I0HiVC7/l0uetjttPcNJdUp/SDXm8wmc/NEmYzA==" saltValue="zc15nQWQ5pYBpHcJrMMP/w==" spinCount="100000" sheet="1" objects="1" scenarios="1"/>
  <phoneticPr fontId="18"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showGridLines="0" workbookViewId="0">
      <selection activeCell="D3" sqref="D3:F3"/>
    </sheetView>
  </sheetViews>
  <sheetFormatPr defaultColWidth="9.109375" defaultRowHeight="13.2" x14ac:dyDescent="0.25"/>
  <cols>
    <col min="1" max="1" width="9.109375" style="82"/>
    <col min="2" max="2" width="8.6640625" style="82" customWidth="1"/>
    <col min="3" max="3" width="15.6640625" style="82" customWidth="1"/>
    <col min="4" max="5" width="12.33203125" style="82" customWidth="1"/>
    <col min="6" max="6" width="8.6640625" style="82" customWidth="1"/>
    <col min="7" max="7" width="15.6640625" style="82" customWidth="1"/>
    <col min="8" max="11" width="12.33203125" style="82" customWidth="1"/>
    <col min="12" max="16384" width="9.109375" style="82"/>
  </cols>
  <sheetData>
    <row r="1" spans="1:9" s="79" customFormat="1" ht="25.5" customHeight="1" x14ac:dyDescent="0.4">
      <c r="A1" s="174" t="s">
        <v>103</v>
      </c>
      <c r="B1" s="174"/>
      <c r="C1" s="174"/>
      <c r="D1" s="174"/>
      <c r="E1" s="174"/>
      <c r="F1" s="174"/>
      <c r="G1" s="174"/>
      <c r="H1" s="174"/>
      <c r="I1" s="174"/>
    </row>
    <row r="2" spans="1:9" s="79" customFormat="1" ht="12.75" customHeight="1" x14ac:dyDescent="0.4">
      <c r="A2" s="80"/>
      <c r="B2" s="80"/>
      <c r="C2" s="80"/>
      <c r="D2" s="80"/>
      <c r="E2" s="80"/>
      <c r="F2" s="80"/>
      <c r="G2" s="80"/>
      <c r="H2" s="80"/>
      <c r="I2" s="80"/>
    </row>
    <row r="3" spans="1:9" x14ac:dyDescent="0.25">
      <c r="A3" s="81"/>
      <c r="B3" s="81"/>
      <c r="C3" s="81"/>
      <c r="D3" s="179" t="s">
        <v>82</v>
      </c>
      <c r="E3" s="179"/>
      <c r="F3" s="179"/>
      <c r="G3" s="81"/>
      <c r="H3" s="81"/>
    </row>
    <row r="4" spans="1:9" x14ac:dyDescent="0.25">
      <c r="A4" s="81"/>
      <c r="B4" s="81"/>
      <c r="C4" s="81"/>
      <c r="D4" s="83"/>
      <c r="E4" s="83"/>
      <c r="F4" s="83"/>
      <c r="G4" s="81"/>
      <c r="H4" s="81"/>
    </row>
    <row r="5" spans="1:9" ht="19.2" x14ac:dyDescent="0.35">
      <c r="A5" s="178" t="str">
        <f>"Locality/COLA Area: "&amp;'Start Page'!C30</f>
        <v>Locality/COLA Area: Rest of the United States</v>
      </c>
      <c r="B5" s="178"/>
      <c r="C5" s="178"/>
      <c r="D5" s="178"/>
      <c r="E5" s="178"/>
      <c r="F5" s="178"/>
      <c r="G5" s="178"/>
      <c r="H5" s="178"/>
      <c r="I5" s="178"/>
    </row>
    <row r="6" spans="1:9" ht="12.75" customHeight="1" x14ac:dyDescent="0.35">
      <c r="D6" s="79"/>
      <c r="E6" s="84"/>
      <c r="F6" s="85"/>
      <c r="G6" s="86"/>
      <c r="H6" s="86"/>
    </row>
    <row r="7" spans="1:9" x14ac:dyDescent="0.25">
      <c r="A7" s="175" t="s">
        <v>104</v>
      </c>
      <c r="B7" s="176"/>
      <c r="C7" s="176"/>
      <c r="D7" s="176"/>
      <c r="E7" s="176"/>
      <c r="F7" s="176"/>
      <c r="G7" s="176"/>
      <c r="H7" s="176"/>
      <c r="I7" s="176"/>
    </row>
    <row r="8" spans="1:9" x14ac:dyDescent="0.25">
      <c r="A8" s="87"/>
      <c r="B8" s="88"/>
      <c r="C8" s="88"/>
      <c r="D8" s="88"/>
      <c r="E8" s="88"/>
      <c r="F8" s="88"/>
      <c r="G8" s="88"/>
      <c r="H8" s="88"/>
      <c r="I8" s="88"/>
    </row>
    <row r="9" spans="1:9" ht="51" customHeight="1" x14ac:dyDescent="0.25">
      <c r="A9" s="180" t="s">
        <v>105</v>
      </c>
      <c r="B9" s="180"/>
      <c r="C9" s="180"/>
      <c r="D9" s="180"/>
      <c r="E9" s="180"/>
      <c r="F9" s="180"/>
      <c r="G9" s="180"/>
      <c r="H9" s="180"/>
      <c r="I9" s="180"/>
    </row>
    <row r="10" spans="1:9" x14ac:dyDescent="0.25">
      <c r="E10" s="89"/>
      <c r="G10" s="86"/>
      <c r="H10" s="86"/>
    </row>
    <row r="11" spans="1:9" ht="25.5" customHeight="1" x14ac:dyDescent="0.25">
      <c r="A11" s="181" t="s">
        <v>106</v>
      </c>
      <c r="B11" s="181"/>
      <c r="C11" s="181"/>
      <c r="D11" s="181"/>
      <c r="E11" s="181"/>
      <c r="F11" s="181"/>
      <c r="G11" s="181"/>
      <c r="H11" s="181"/>
      <c r="I11" s="181"/>
    </row>
    <row r="12" spans="1:9" x14ac:dyDescent="0.25">
      <c r="A12" s="90"/>
      <c r="B12" s="90"/>
      <c r="C12" s="90"/>
      <c r="D12" s="90"/>
      <c r="E12" s="90"/>
      <c r="F12" s="90"/>
      <c r="G12" s="90"/>
      <c r="H12" s="90"/>
      <c r="I12" s="90"/>
    </row>
    <row r="13" spans="1:9" ht="25.5" customHeight="1" x14ac:dyDescent="0.25">
      <c r="A13" s="181" t="s">
        <v>111</v>
      </c>
      <c r="B13" s="181"/>
      <c r="C13" s="181"/>
      <c r="D13" s="181"/>
      <c r="E13" s="181"/>
      <c r="F13" s="181"/>
      <c r="G13" s="181"/>
      <c r="H13" s="181"/>
      <c r="I13" s="181"/>
    </row>
    <row r="14" spans="1:9" x14ac:dyDescent="0.25">
      <c r="A14" s="91"/>
    </row>
    <row r="15" spans="1:9" x14ac:dyDescent="0.25">
      <c r="A15" s="82" t="s">
        <v>85</v>
      </c>
      <c r="C15" s="92">
        <v>50000</v>
      </c>
      <c r="F15" s="93" t="str">
        <f>IF(C15&gt;0,"","Error!  I would like to think you are making something for your trouble.")</f>
        <v/>
      </c>
    </row>
    <row r="16" spans="1:9" x14ac:dyDescent="0.25">
      <c r="A16" s="91"/>
    </row>
    <row r="17" spans="1:11" ht="17.399999999999999" x14ac:dyDescent="0.3">
      <c r="B17" s="177" t="s">
        <v>84</v>
      </c>
      <c r="C17" s="177"/>
      <c r="D17" s="177"/>
      <c r="E17" s="89"/>
      <c r="F17" s="177" t="s">
        <v>87</v>
      </c>
      <c r="G17" s="177"/>
      <c r="H17" s="177"/>
    </row>
    <row r="18" spans="1:11" x14ac:dyDescent="0.25">
      <c r="E18" s="83"/>
      <c r="F18" s="83"/>
      <c r="G18" s="83"/>
    </row>
    <row r="19" spans="1:11" x14ac:dyDescent="0.25">
      <c r="A19" s="79"/>
      <c r="B19" s="94" t="s">
        <v>40</v>
      </c>
      <c r="C19" s="94" t="s">
        <v>1</v>
      </c>
      <c r="D19" s="95" t="s">
        <v>86</v>
      </c>
      <c r="E19" s="79"/>
      <c r="F19" s="94" t="s">
        <v>40</v>
      </c>
      <c r="G19" s="94" t="s">
        <v>1</v>
      </c>
      <c r="H19" s="95" t="s">
        <v>86</v>
      </c>
      <c r="I19" s="79"/>
      <c r="J19" s="79"/>
      <c r="K19" s="79"/>
    </row>
    <row r="20" spans="1:11" ht="12.75" customHeight="1" x14ac:dyDescent="0.25">
      <c r="A20" s="79"/>
      <c r="B20" s="96"/>
      <c r="C20" s="97" t="s">
        <v>107</v>
      </c>
      <c r="D20" s="98">
        <f>ROUND($C$15+($C$15*'Start Page'!$C$32),0)</f>
        <v>58250</v>
      </c>
      <c r="E20" s="79"/>
      <c r="F20" s="96"/>
      <c r="G20" s="97" t="s">
        <v>107</v>
      </c>
      <c r="H20" s="98">
        <f>ROUND($C$15+($C$15*'Start Page'!$C$32),0)</f>
        <v>58250</v>
      </c>
      <c r="I20" s="79"/>
      <c r="J20" s="79"/>
      <c r="K20" s="79"/>
    </row>
    <row r="21" spans="1:11" x14ac:dyDescent="0.25">
      <c r="A21" s="79"/>
      <c r="B21" s="96">
        <v>106</v>
      </c>
      <c r="C21" s="99" t="s">
        <v>38</v>
      </c>
      <c r="D21" s="100">
        <f>D22*106</f>
        <v>2240.84</v>
      </c>
      <c r="E21" s="79"/>
      <c r="F21" s="96">
        <v>80</v>
      </c>
      <c r="G21" s="101" t="s">
        <v>108</v>
      </c>
      <c r="H21" s="102">
        <f>H22*80</f>
        <v>2232.8000000000002</v>
      </c>
      <c r="I21" s="79"/>
      <c r="J21" s="79"/>
      <c r="K21" s="79"/>
    </row>
    <row r="22" spans="1:11" x14ac:dyDescent="0.25">
      <c r="A22" s="79"/>
      <c r="B22" s="96"/>
      <c r="C22" s="99" t="s">
        <v>13</v>
      </c>
      <c r="D22" s="100">
        <f>ROUND(D20/2756,2)</f>
        <v>21.14</v>
      </c>
      <c r="E22" s="79"/>
      <c r="F22" s="96"/>
      <c r="G22" s="101" t="s">
        <v>109</v>
      </c>
      <c r="H22" s="103">
        <f>ROUND(H20/2087,2)</f>
        <v>27.91</v>
      </c>
      <c r="I22" s="79"/>
      <c r="J22" s="79"/>
      <c r="K22" s="79"/>
    </row>
    <row r="23" spans="1:11" x14ac:dyDescent="0.25">
      <c r="A23" s="79"/>
      <c r="B23" s="104">
        <f>('Start Page'!$D$16-53)*2</f>
        <v>38</v>
      </c>
      <c r="C23" s="99" t="s">
        <v>39</v>
      </c>
      <c r="D23" s="100">
        <f>D24*B23</f>
        <v>1204.98</v>
      </c>
      <c r="E23" s="79"/>
      <c r="F23" s="96">
        <v>26</v>
      </c>
      <c r="G23" s="105" t="s">
        <v>38</v>
      </c>
      <c r="H23" s="100">
        <f>H24*26</f>
        <v>549.64</v>
      </c>
      <c r="I23" s="79"/>
      <c r="J23" s="79"/>
      <c r="K23" s="79"/>
    </row>
    <row r="24" spans="1:11" x14ac:dyDescent="0.25">
      <c r="A24" s="79"/>
      <c r="B24" s="96"/>
      <c r="C24" s="99" t="s">
        <v>14</v>
      </c>
      <c r="D24" s="100">
        <f>IF(ROUND(D22*1.5,2)&lt;'Shift Firefighters'!$G$122,ROUND(D22*1.5,2),IF('Shift Firefighters'!$G$122&lt;D22,D22,'Shift Firefighters'!$G$122))</f>
        <v>31.71</v>
      </c>
      <c r="E24" s="79"/>
      <c r="F24" s="96"/>
      <c r="G24" s="105" t="s">
        <v>13</v>
      </c>
      <c r="H24" s="100">
        <f>ROUND(H20/2756,2)</f>
        <v>21.14</v>
      </c>
      <c r="I24" s="79"/>
      <c r="J24" s="79"/>
      <c r="K24" s="79"/>
    </row>
    <row r="25" spans="1:11" x14ac:dyDescent="0.25">
      <c r="A25" s="79"/>
      <c r="B25" s="106"/>
      <c r="C25" s="107" t="s">
        <v>43</v>
      </c>
      <c r="D25" s="100">
        <f>ROUND(D22*'Start Page'!$G$32,2)*B26</f>
        <v>0</v>
      </c>
      <c r="E25" s="79"/>
      <c r="F25" s="104">
        <f>('Start Page'!$D$18-53)*2</f>
        <v>14</v>
      </c>
      <c r="G25" s="105" t="s">
        <v>39</v>
      </c>
      <c r="H25" s="100">
        <f>H26*F25</f>
        <v>443.94</v>
      </c>
      <c r="I25" s="79"/>
      <c r="J25" s="79"/>
      <c r="K25" s="79"/>
    </row>
    <row r="26" spans="1:11" x14ac:dyDescent="0.25">
      <c r="A26" s="79"/>
      <c r="B26" s="96">
        <f>B21+B23</f>
        <v>144</v>
      </c>
      <c r="C26" s="108" t="s">
        <v>17</v>
      </c>
      <c r="D26" s="109">
        <f>D21+D23+D25</f>
        <v>3445.82</v>
      </c>
      <c r="E26" s="79"/>
      <c r="F26" s="96"/>
      <c r="G26" s="105" t="s">
        <v>14</v>
      </c>
      <c r="H26" s="100">
        <f>IF(ROUND(H24*1.5,2)&lt;'Shift Firefighters'!$G$122,ROUND(H24*1.5,2),IF('Shift Firefighters'!$G$122&lt;H24,H24,'Shift Firefighters'!$G$122))</f>
        <v>31.71</v>
      </c>
      <c r="I26" s="79"/>
      <c r="J26" s="79"/>
      <c r="K26" s="79"/>
    </row>
    <row r="27" spans="1:11" x14ac:dyDescent="0.25">
      <c r="A27" s="79"/>
      <c r="B27" s="96"/>
      <c r="C27" s="108" t="s">
        <v>33</v>
      </c>
      <c r="D27" s="109">
        <f>D26*26</f>
        <v>89591.32</v>
      </c>
      <c r="E27" s="79"/>
      <c r="F27" s="106"/>
      <c r="G27" s="101" t="s">
        <v>43</v>
      </c>
      <c r="H27" s="100">
        <f>(ROUND(H22*'Start Page'!$G$32,2)*80)+(ROUND(H24*'Start Page'!$G$32,2)*(F28-80))</f>
        <v>0</v>
      </c>
      <c r="I27" s="79"/>
      <c r="J27" s="79"/>
      <c r="K27" s="79"/>
    </row>
    <row r="28" spans="1:11" x14ac:dyDescent="0.25">
      <c r="A28" s="79"/>
      <c r="B28" s="110"/>
      <c r="C28" s="111" t="s">
        <v>66</v>
      </c>
      <c r="D28" s="112">
        <f>D22*B26*26</f>
        <v>79148.160000000003</v>
      </c>
      <c r="E28" s="79"/>
      <c r="F28" s="96">
        <f>F21+F23+F25</f>
        <v>120</v>
      </c>
      <c r="G28" s="113" t="s">
        <v>17</v>
      </c>
      <c r="H28" s="109">
        <f>H21+H23+H25+H27</f>
        <v>3226.38</v>
      </c>
      <c r="I28" s="79"/>
      <c r="J28" s="79"/>
      <c r="K28" s="79"/>
    </row>
    <row r="29" spans="1:11" x14ac:dyDescent="0.25">
      <c r="A29" s="79"/>
      <c r="B29" s="79"/>
      <c r="C29" s="79"/>
      <c r="D29" s="79"/>
      <c r="E29" s="79"/>
      <c r="F29" s="96"/>
      <c r="G29" s="113" t="s">
        <v>33</v>
      </c>
      <c r="H29" s="109">
        <f>H28*26</f>
        <v>83885.88</v>
      </c>
      <c r="I29" s="79"/>
      <c r="J29" s="79"/>
      <c r="K29" s="79"/>
    </row>
    <row r="30" spans="1:11" x14ac:dyDescent="0.25">
      <c r="A30" s="79"/>
      <c r="B30" s="79"/>
      <c r="C30" s="79"/>
      <c r="D30" s="79"/>
      <c r="E30" s="79"/>
      <c r="F30" s="110"/>
      <c r="G30" s="111" t="s">
        <v>66</v>
      </c>
      <c r="H30" s="114">
        <f>((H22*80)+(H24*(F28-80)))*26</f>
        <v>80038.400000000009</v>
      </c>
      <c r="I30" s="79"/>
      <c r="J30" s="79"/>
      <c r="K30" s="79"/>
    </row>
    <row r="31" spans="1:11" x14ac:dyDescent="0.25">
      <c r="A31" s="79"/>
      <c r="B31" s="79"/>
      <c r="C31" s="79"/>
      <c r="D31" s="79"/>
      <c r="E31" s="79"/>
      <c r="F31" s="79"/>
      <c r="G31" s="79"/>
      <c r="H31" s="79"/>
      <c r="I31" s="79"/>
      <c r="J31" s="79"/>
      <c r="K31" s="79"/>
    </row>
    <row r="32" spans="1:11" x14ac:dyDescent="0.25">
      <c r="A32" s="79"/>
      <c r="B32" s="79"/>
      <c r="C32" s="79"/>
      <c r="D32" s="79"/>
      <c r="E32" s="79"/>
      <c r="F32" s="79"/>
      <c r="G32" s="79"/>
      <c r="H32" s="79"/>
      <c r="I32" s="79"/>
      <c r="J32" s="79"/>
      <c r="K32" s="79"/>
    </row>
    <row r="33" spans="6:8" x14ac:dyDescent="0.25">
      <c r="F33" s="79"/>
      <c r="G33" s="79"/>
      <c r="H33" s="79"/>
    </row>
    <row r="34" spans="6:8" x14ac:dyDescent="0.25">
      <c r="F34" s="79"/>
      <c r="G34" s="79"/>
      <c r="H34" s="79"/>
    </row>
  </sheetData>
  <sheetProtection algorithmName="SHA-512" hashValue="FFLXb5p+t3JEtv7LhxmHc/cQVv2c3jb/33crcebYpjD0X7cNadP5U0DI9PITXMpiO4SjBk1mokC5/r2aK3xRSA==" saltValue="QjPdlR5lzoygJEJCZGrGGQ==" spinCount="100000"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xr:uid="{00000000-0002-0000-0400-000000000000}">
      <formula1>0</formula1>
      <formula2>200000</formula2>
    </dataValidation>
  </dataValidations>
  <hyperlinks>
    <hyperlink ref="D3" location="'Start Page'!C4" display="Return to Start Page" xr:uid="{00000000-0004-0000-0400-000000000000}"/>
    <hyperlink ref="D3:F3" location="'Start Page'!G2" display="Return to Start Page" xr:uid="{00000000-0004-0000-0400-000001000000}"/>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53"/>
  <sheetViews>
    <sheetView showGridLines="0" workbookViewId="0">
      <selection activeCell="E6" sqref="E6:G6"/>
    </sheetView>
  </sheetViews>
  <sheetFormatPr defaultColWidth="9.109375" defaultRowHeight="13.2" x14ac:dyDescent="0.25"/>
  <cols>
    <col min="1" max="1" width="9.109375" style="82"/>
    <col min="2" max="11" width="12.33203125" style="82" customWidth="1"/>
    <col min="12" max="16384" width="9.109375" style="82"/>
  </cols>
  <sheetData>
    <row r="1" spans="1:11" s="79" customFormat="1" ht="25.5" customHeight="1" x14ac:dyDescent="0.4">
      <c r="A1" s="184" t="str">
        <f>'Start Page'!$C$48&amp;" General Schedule Pay Chart"</f>
        <v>2023 General Schedule Pay Chart</v>
      </c>
      <c r="B1" s="184"/>
      <c r="C1" s="184"/>
      <c r="D1" s="184"/>
      <c r="E1" s="184"/>
      <c r="F1" s="184"/>
      <c r="G1" s="184"/>
      <c r="H1" s="184"/>
      <c r="I1" s="184"/>
      <c r="J1" s="184"/>
      <c r="K1" s="184"/>
    </row>
    <row r="2" spans="1:11" s="79" customFormat="1" ht="25.5" customHeight="1" x14ac:dyDescent="0.3">
      <c r="A2" s="187" t="str">
        <f>"Locality/COLA Area: "&amp;'Start Page'!C30</f>
        <v>Locality/COLA Area: Rest of the United States</v>
      </c>
      <c r="B2" s="187"/>
      <c r="C2" s="187"/>
      <c r="D2" s="187"/>
      <c r="E2" s="187"/>
      <c r="F2" s="187"/>
      <c r="G2" s="187"/>
      <c r="H2" s="187"/>
      <c r="I2" s="187"/>
      <c r="J2" s="187"/>
      <c r="K2" s="187"/>
    </row>
    <row r="3" spans="1:11" x14ac:dyDescent="0.25">
      <c r="E3" s="89"/>
      <c r="F3" s="115" t="s">
        <v>63</v>
      </c>
      <c r="G3" s="116">
        <f>'Start Page'!C32</f>
        <v>0.16500000000000001</v>
      </c>
      <c r="H3" s="86"/>
    </row>
    <row r="4" spans="1:11" x14ac:dyDescent="0.25">
      <c r="E4" s="89"/>
      <c r="F4" s="115" t="s">
        <v>83</v>
      </c>
      <c r="G4" s="116">
        <f>'Start Page'!G32</f>
        <v>0</v>
      </c>
      <c r="H4" s="86"/>
    </row>
    <row r="5" spans="1:11" x14ac:dyDescent="0.25">
      <c r="E5" s="186" t="str">
        <f>IF('Start Page'!$C$48='GS Pay Calculator'!B2,"","Warning! These pay figures are now estimates only!")</f>
        <v/>
      </c>
      <c r="F5" s="186"/>
      <c r="G5" s="186"/>
      <c r="H5" s="186"/>
    </row>
    <row r="6" spans="1:11" x14ac:dyDescent="0.25">
      <c r="E6" s="185" t="s">
        <v>82</v>
      </c>
      <c r="F6" s="185"/>
      <c r="G6" s="185"/>
    </row>
    <row r="7" spans="1:11" x14ac:dyDescent="0.25">
      <c r="A7" s="117" t="s">
        <v>27</v>
      </c>
      <c r="B7" s="182" t="s">
        <v>28</v>
      </c>
      <c r="C7" s="183"/>
      <c r="D7" s="183"/>
      <c r="E7" s="183"/>
      <c r="F7" s="183"/>
      <c r="G7" s="183"/>
      <c r="H7" s="183"/>
      <c r="I7" s="183"/>
      <c r="J7" s="183"/>
      <c r="K7" s="183"/>
    </row>
    <row r="8" spans="1:11" x14ac:dyDescent="0.25">
      <c r="A8" s="118" t="s">
        <v>29</v>
      </c>
      <c r="B8" s="119">
        <v>1</v>
      </c>
      <c r="C8" s="119">
        <v>2</v>
      </c>
      <c r="D8" s="119">
        <v>3</v>
      </c>
      <c r="E8" s="119">
        <v>4</v>
      </c>
      <c r="F8" s="119">
        <v>5</v>
      </c>
      <c r="G8" s="119">
        <v>6</v>
      </c>
      <c r="H8" s="119">
        <v>7</v>
      </c>
      <c r="I8" s="119">
        <v>8</v>
      </c>
      <c r="J8" s="119">
        <v>9</v>
      </c>
      <c r="K8" s="119">
        <v>10</v>
      </c>
    </row>
    <row r="9" spans="1:11" x14ac:dyDescent="0.25">
      <c r="A9" s="120">
        <v>3</v>
      </c>
      <c r="B9" s="121">
        <f>IF($A$44=$A$42,B28,IF(B28&gt;'GS Pay - No Locality'!B21,B28,'GS Pay - No Locality'!B21))</f>
        <v>33906</v>
      </c>
      <c r="C9" s="121">
        <f>IF($A$44=$A$42,C28,IF(C28&gt;'GS Pay - No Locality'!C21,C28,'GS Pay - No Locality'!C21))</f>
        <v>34765</v>
      </c>
      <c r="D9" s="121">
        <f>IF($A$44=$A$42,D28,IF(D28&gt;'GS Pay - No Locality'!D21,D28,'GS Pay - No Locality'!D21))</f>
        <v>35624</v>
      </c>
      <c r="E9" s="121">
        <f>IF($A$44=$A$42,E28,IF(E28&gt;'GS Pay - No Locality'!E21,E28,'GS Pay - No Locality'!E21))</f>
        <v>36483</v>
      </c>
      <c r="F9" s="121">
        <f>IF($A$44=$A$42,F28,IF(F28&gt;'GS Pay - No Locality'!F21,F28,'GS Pay - No Locality'!F21))</f>
        <v>37342</v>
      </c>
      <c r="G9" s="121">
        <f>IF($A$44=$A$42,G28,IF(G28&gt;'GS Pay - No Locality'!G21,G28,'GS Pay - No Locality'!G21))</f>
        <v>38201</v>
      </c>
      <c r="H9" s="121">
        <f>IF($A$44=$A$42,H28,IF(H28&gt;'GS Pay - No Locality'!H21,H28,'GS Pay - No Locality'!H21))</f>
        <v>39060</v>
      </c>
      <c r="I9" s="121">
        <f>IF($A$44=$A$42,I28,IF(I28&gt;'GS Pay - No Locality'!I21,I28,'GS Pay - No Locality'!I21))</f>
        <v>39919</v>
      </c>
      <c r="J9" s="121">
        <f>IF($A$44=$A$42,J28,IF(J28&gt;'GS Pay - No Locality'!J21,J28,'GS Pay - No Locality'!J21))</f>
        <v>40778</v>
      </c>
      <c r="K9" s="121">
        <f>IF($A$44=$A$42,K28,IF(K28&gt;'GS Pay - No Locality'!K21,K28,'GS Pay - No Locality'!K21))</f>
        <v>41637</v>
      </c>
    </row>
    <row r="10" spans="1:11" x14ac:dyDescent="0.25">
      <c r="A10" s="120">
        <v>4</v>
      </c>
      <c r="B10" s="121">
        <f>IF($A$44=$A$42,B29,IF(B29&gt;'GS Pay - No Locality'!B22,B29,'GS Pay - No Locality'!B22))</f>
        <v>34584</v>
      </c>
      <c r="C10" s="121">
        <f>IF($A$44=$A$42,C29,IF(C29&gt;'GS Pay - No Locality'!C22,C29,'GS Pay - No Locality'!C22))</f>
        <v>35548</v>
      </c>
      <c r="D10" s="121">
        <f>IF($A$44=$A$42,D29,IF(D29&gt;'GS Pay - No Locality'!D22,D29,'GS Pay - No Locality'!D22))</f>
        <v>36512</v>
      </c>
      <c r="E10" s="121">
        <f>IF($A$44=$A$42,E29,IF(E29&gt;'GS Pay - No Locality'!E22,E29,'GS Pay - No Locality'!E22))</f>
        <v>37476</v>
      </c>
      <c r="F10" s="121">
        <f>IF($A$44=$A$42,F29,IF(F29&gt;'GS Pay - No Locality'!F22,F29,'GS Pay - No Locality'!F22))</f>
        <v>38440</v>
      </c>
      <c r="G10" s="121">
        <f>IF($A$44=$A$42,G29,IF(G29&gt;'GS Pay - No Locality'!G22,G29,'GS Pay - No Locality'!G22))</f>
        <v>39404</v>
      </c>
      <c r="H10" s="121">
        <f t="shared" ref="H10:K10" si="0">H29</f>
        <v>40431</v>
      </c>
      <c r="I10" s="121">
        <f t="shared" si="0"/>
        <v>41554</v>
      </c>
      <c r="J10" s="121">
        <f t="shared" si="0"/>
        <v>42677</v>
      </c>
      <c r="K10" s="121">
        <f t="shared" si="0"/>
        <v>43801</v>
      </c>
    </row>
    <row r="11" spans="1:11" x14ac:dyDescent="0.25">
      <c r="A11" s="120">
        <v>5</v>
      </c>
      <c r="B11" s="121">
        <f t="shared" ref="B11:K11" si="1">B30</f>
        <v>37696</v>
      </c>
      <c r="C11" s="121">
        <f t="shared" si="1"/>
        <v>38953</v>
      </c>
      <c r="D11" s="121">
        <f t="shared" si="1"/>
        <v>40210</v>
      </c>
      <c r="E11" s="121">
        <f t="shared" si="1"/>
        <v>41467</v>
      </c>
      <c r="F11" s="121">
        <f t="shared" si="1"/>
        <v>42724</v>
      </c>
      <c r="G11" s="121">
        <f t="shared" si="1"/>
        <v>43981</v>
      </c>
      <c r="H11" s="121">
        <f t="shared" si="1"/>
        <v>45238</v>
      </c>
      <c r="I11" s="121">
        <f t="shared" si="1"/>
        <v>46495</v>
      </c>
      <c r="J11" s="121">
        <f t="shared" si="1"/>
        <v>47752</v>
      </c>
      <c r="K11" s="121">
        <f t="shared" si="1"/>
        <v>49009</v>
      </c>
    </row>
    <row r="12" spans="1:11" x14ac:dyDescent="0.25">
      <c r="A12" s="120">
        <v>6</v>
      </c>
      <c r="B12" s="121">
        <f t="shared" ref="B12:K12" si="2">B31</f>
        <v>42022</v>
      </c>
      <c r="C12" s="121">
        <f t="shared" si="2"/>
        <v>43422</v>
      </c>
      <c r="D12" s="121">
        <f t="shared" si="2"/>
        <v>44822</v>
      </c>
      <c r="E12" s="121">
        <f t="shared" si="2"/>
        <v>46223</v>
      </c>
      <c r="F12" s="121">
        <f t="shared" si="2"/>
        <v>47623</v>
      </c>
      <c r="G12" s="121">
        <f t="shared" si="2"/>
        <v>49023</v>
      </c>
      <c r="H12" s="121">
        <f t="shared" si="2"/>
        <v>50424</v>
      </c>
      <c r="I12" s="121">
        <f t="shared" si="2"/>
        <v>51824</v>
      </c>
      <c r="J12" s="121">
        <f t="shared" si="2"/>
        <v>53224</v>
      </c>
      <c r="K12" s="121">
        <f t="shared" si="2"/>
        <v>54625</v>
      </c>
    </row>
    <row r="13" spans="1:11" x14ac:dyDescent="0.25">
      <c r="A13" s="120">
        <v>7</v>
      </c>
      <c r="B13" s="121">
        <f t="shared" ref="B13:K13" si="3">B32</f>
        <v>46696</v>
      </c>
      <c r="C13" s="121">
        <f t="shared" si="3"/>
        <v>48252</v>
      </c>
      <c r="D13" s="121">
        <f t="shared" si="3"/>
        <v>49808</v>
      </c>
      <c r="E13" s="121">
        <f t="shared" si="3"/>
        <v>51365</v>
      </c>
      <c r="F13" s="121">
        <f t="shared" si="3"/>
        <v>52921</v>
      </c>
      <c r="G13" s="121">
        <f t="shared" si="3"/>
        <v>54478</v>
      </c>
      <c r="H13" s="121">
        <f t="shared" si="3"/>
        <v>56034</v>
      </c>
      <c r="I13" s="121">
        <f t="shared" si="3"/>
        <v>57591</v>
      </c>
      <c r="J13" s="121">
        <f t="shared" si="3"/>
        <v>59147</v>
      </c>
      <c r="K13" s="121">
        <f t="shared" si="3"/>
        <v>60703</v>
      </c>
    </row>
    <row r="14" spans="1:11" x14ac:dyDescent="0.25">
      <c r="A14" s="120">
        <v>8</v>
      </c>
      <c r="B14" s="121">
        <f t="shared" ref="B14:K14" si="4">B33</f>
        <v>51713</v>
      </c>
      <c r="C14" s="121">
        <f t="shared" si="4"/>
        <v>53437</v>
      </c>
      <c r="D14" s="121">
        <f t="shared" si="4"/>
        <v>55162</v>
      </c>
      <c r="E14" s="121">
        <f t="shared" si="4"/>
        <v>56886</v>
      </c>
      <c r="F14" s="121">
        <f t="shared" si="4"/>
        <v>58610</v>
      </c>
      <c r="G14" s="121">
        <f t="shared" si="4"/>
        <v>60334</v>
      </c>
      <c r="H14" s="121">
        <f t="shared" si="4"/>
        <v>62058</v>
      </c>
      <c r="I14" s="121">
        <f t="shared" si="4"/>
        <v>63783</v>
      </c>
      <c r="J14" s="121">
        <f t="shared" si="4"/>
        <v>65507</v>
      </c>
      <c r="K14" s="121">
        <f t="shared" si="4"/>
        <v>67231</v>
      </c>
    </row>
    <row r="15" spans="1:11" x14ac:dyDescent="0.25">
      <c r="A15" s="120">
        <v>9</v>
      </c>
      <c r="B15" s="121">
        <f t="shared" ref="B15:K15" si="5">B34</f>
        <v>57118</v>
      </c>
      <c r="C15" s="121">
        <f t="shared" si="5"/>
        <v>59021</v>
      </c>
      <c r="D15" s="121">
        <f t="shared" si="5"/>
        <v>60925</v>
      </c>
      <c r="E15" s="121">
        <f t="shared" si="5"/>
        <v>62828</v>
      </c>
      <c r="F15" s="121">
        <f t="shared" si="5"/>
        <v>64732</v>
      </c>
      <c r="G15" s="121">
        <f t="shared" si="5"/>
        <v>66636</v>
      </c>
      <c r="H15" s="121">
        <f t="shared" si="5"/>
        <v>68539</v>
      </c>
      <c r="I15" s="121">
        <f t="shared" si="5"/>
        <v>70443</v>
      </c>
      <c r="J15" s="121">
        <f t="shared" si="5"/>
        <v>72347</v>
      </c>
      <c r="K15" s="121">
        <f t="shared" si="5"/>
        <v>74250</v>
      </c>
    </row>
    <row r="16" spans="1:11" x14ac:dyDescent="0.25">
      <c r="A16" s="120">
        <v>10</v>
      </c>
      <c r="B16" s="121">
        <f t="shared" ref="B16:K16" si="6">B35</f>
        <v>62898</v>
      </c>
      <c r="C16" s="121">
        <f t="shared" si="6"/>
        <v>64995</v>
      </c>
      <c r="D16" s="121">
        <f t="shared" si="6"/>
        <v>67092</v>
      </c>
      <c r="E16" s="121">
        <f t="shared" si="6"/>
        <v>69189</v>
      </c>
      <c r="F16" s="121">
        <f t="shared" si="6"/>
        <v>71286</v>
      </c>
      <c r="G16" s="121">
        <f t="shared" si="6"/>
        <v>73383</v>
      </c>
      <c r="H16" s="121">
        <f t="shared" si="6"/>
        <v>75480</v>
      </c>
      <c r="I16" s="121">
        <f t="shared" si="6"/>
        <v>77577</v>
      </c>
      <c r="J16" s="121">
        <f t="shared" si="6"/>
        <v>79674</v>
      </c>
      <c r="K16" s="121">
        <f t="shared" si="6"/>
        <v>81771</v>
      </c>
    </row>
    <row r="17" spans="1:11" x14ac:dyDescent="0.25">
      <c r="A17" s="120">
        <v>11</v>
      </c>
      <c r="B17" s="121">
        <f t="shared" ref="B17:K17" si="7">B36</f>
        <v>69107</v>
      </c>
      <c r="C17" s="121">
        <f t="shared" si="7"/>
        <v>71410</v>
      </c>
      <c r="D17" s="121">
        <f t="shared" si="7"/>
        <v>73713</v>
      </c>
      <c r="E17" s="121">
        <f t="shared" si="7"/>
        <v>76016</v>
      </c>
      <c r="F17" s="121">
        <f t="shared" si="7"/>
        <v>78319</v>
      </c>
      <c r="G17" s="121">
        <f t="shared" si="7"/>
        <v>80623</v>
      </c>
      <c r="H17" s="121">
        <f t="shared" si="7"/>
        <v>82926</v>
      </c>
      <c r="I17" s="121">
        <f t="shared" si="7"/>
        <v>85229</v>
      </c>
      <c r="J17" s="121">
        <f t="shared" si="7"/>
        <v>87532</v>
      </c>
      <c r="K17" s="121">
        <f t="shared" si="7"/>
        <v>89835</v>
      </c>
    </row>
    <row r="18" spans="1:11" x14ac:dyDescent="0.25">
      <c r="A18" s="120">
        <v>12</v>
      </c>
      <c r="B18" s="121">
        <f t="shared" ref="B18:K18" si="8">B37</f>
        <v>82830</v>
      </c>
      <c r="C18" s="121">
        <f t="shared" si="8"/>
        <v>85591</v>
      </c>
      <c r="D18" s="121">
        <f t="shared" si="8"/>
        <v>88352</v>
      </c>
      <c r="E18" s="121">
        <f t="shared" si="8"/>
        <v>91113</v>
      </c>
      <c r="F18" s="121">
        <f t="shared" si="8"/>
        <v>93875</v>
      </c>
      <c r="G18" s="121">
        <f t="shared" si="8"/>
        <v>96636</v>
      </c>
      <c r="H18" s="121">
        <f t="shared" si="8"/>
        <v>99397</v>
      </c>
      <c r="I18" s="121">
        <f t="shared" si="8"/>
        <v>102158</v>
      </c>
      <c r="J18" s="121">
        <f t="shared" si="8"/>
        <v>104919</v>
      </c>
      <c r="K18" s="121">
        <f t="shared" si="8"/>
        <v>107680</v>
      </c>
    </row>
    <row r="19" spans="1:11" x14ac:dyDescent="0.25">
      <c r="A19" s="120">
        <v>13</v>
      </c>
      <c r="B19" s="121">
        <f t="shared" ref="B19:K19" si="9">B38</f>
        <v>98496</v>
      </c>
      <c r="C19" s="121">
        <f t="shared" si="9"/>
        <v>101779</v>
      </c>
      <c r="D19" s="121">
        <f t="shared" si="9"/>
        <v>105062</v>
      </c>
      <c r="E19" s="121">
        <f t="shared" si="9"/>
        <v>108345</v>
      </c>
      <c r="F19" s="121">
        <f t="shared" si="9"/>
        <v>111628</v>
      </c>
      <c r="G19" s="121">
        <f t="shared" si="9"/>
        <v>114911</v>
      </c>
      <c r="H19" s="121">
        <f t="shared" si="9"/>
        <v>118194</v>
      </c>
      <c r="I19" s="121">
        <f t="shared" si="9"/>
        <v>121477</v>
      </c>
      <c r="J19" s="121">
        <f t="shared" si="9"/>
        <v>124760</v>
      </c>
      <c r="K19" s="121">
        <f t="shared" si="9"/>
        <v>128043</v>
      </c>
    </row>
    <row r="20" spans="1:11" x14ac:dyDescent="0.25">
      <c r="A20" s="120">
        <v>14</v>
      </c>
      <c r="B20" s="121">
        <f t="shared" ref="B20:J20" si="10">B39</f>
        <v>116393</v>
      </c>
      <c r="C20" s="121">
        <f t="shared" si="10"/>
        <v>120272</v>
      </c>
      <c r="D20" s="121">
        <f t="shared" si="10"/>
        <v>124152</v>
      </c>
      <c r="E20" s="121">
        <f t="shared" si="10"/>
        <v>128031</v>
      </c>
      <c r="F20" s="121">
        <f t="shared" si="10"/>
        <v>131911</v>
      </c>
      <c r="G20" s="121">
        <f t="shared" si="10"/>
        <v>135790</v>
      </c>
      <c r="H20" s="121">
        <f t="shared" si="10"/>
        <v>139670</v>
      </c>
      <c r="I20" s="121">
        <f t="shared" si="10"/>
        <v>143549</v>
      </c>
      <c r="J20" s="121">
        <f t="shared" si="10"/>
        <v>147428</v>
      </c>
      <c r="K20" s="121">
        <f>IF(K39&gt;C46,C46,K39)</f>
        <v>151308</v>
      </c>
    </row>
    <row r="21" spans="1:11" x14ac:dyDescent="0.25">
      <c r="E21" s="138"/>
      <c r="F21" s="138"/>
      <c r="G21" s="138"/>
    </row>
    <row r="22" spans="1:11" x14ac:dyDescent="0.25">
      <c r="E22" s="138"/>
      <c r="F22" s="138"/>
      <c r="G22" s="138"/>
    </row>
    <row r="23" spans="1:11" x14ac:dyDescent="0.25">
      <c r="A23" s="122" t="s">
        <v>71</v>
      </c>
      <c r="B23" s="79"/>
      <c r="C23" s="79"/>
      <c r="D23" s="79"/>
      <c r="E23" s="79"/>
      <c r="F23" s="79"/>
      <c r="G23" s="79"/>
      <c r="H23" s="79"/>
      <c r="I23" s="79"/>
      <c r="J23" s="79"/>
      <c r="K23" s="79"/>
    </row>
    <row r="24" spans="1:11" x14ac:dyDescent="0.25">
      <c r="E24" s="138"/>
      <c r="F24" s="138"/>
      <c r="G24" s="138"/>
    </row>
    <row r="25" spans="1:11" x14ac:dyDescent="0.25">
      <c r="E25" s="138"/>
      <c r="F25" s="138"/>
      <c r="G25" s="138"/>
    </row>
    <row r="26" spans="1:11" ht="12.75" hidden="1" customHeight="1" x14ac:dyDescent="0.25">
      <c r="A26" s="117" t="s">
        <v>27</v>
      </c>
      <c r="B26" s="182" t="s">
        <v>28</v>
      </c>
      <c r="C26" s="183"/>
      <c r="D26" s="183"/>
      <c r="E26" s="183"/>
      <c r="F26" s="183"/>
      <c r="G26" s="183"/>
      <c r="H26" s="183"/>
      <c r="I26" s="183"/>
      <c r="J26" s="183"/>
      <c r="K26" s="183"/>
    </row>
    <row r="27" spans="1:11" hidden="1" x14ac:dyDescent="0.25">
      <c r="A27" s="118" t="s">
        <v>29</v>
      </c>
      <c r="B27" s="119">
        <v>1</v>
      </c>
      <c r="C27" s="119">
        <v>2</v>
      </c>
      <c r="D27" s="119">
        <v>3</v>
      </c>
      <c r="E27" s="119">
        <v>4</v>
      </c>
      <c r="F27" s="119">
        <v>5</v>
      </c>
      <c r="G27" s="119">
        <v>6</v>
      </c>
      <c r="H27" s="119">
        <v>7</v>
      </c>
      <c r="I27" s="119">
        <v>8</v>
      </c>
      <c r="J27" s="119">
        <v>9</v>
      </c>
      <c r="K27" s="119">
        <v>10</v>
      </c>
    </row>
    <row r="28" spans="1:11" hidden="1" x14ac:dyDescent="0.25">
      <c r="A28" s="120">
        <v>3</v>
      </c>
      <c r="B28" s="121">
        <f>ROUND('GS Pay - No Locality'!B4+('GS Pay - No Locality'!B4*$G$3),0)</f>
        <v>30015</v>
      </c>
      <c r="C28" s="121">
        <f>ROUND('GS Pay - No Locality'!C4+('GS Pay - No Locality'!C4*$G$3),0)</f>
        <v>31016</v>
      </c>
      <c r="D28" s="121">
        <f>ROUND('GS Pay - No Locality'!D4+('GS Pay - No Locality'!D4*$G$3),0)</f>
        <v>32017</v>
      </c>
      <c r="E28" s="121">
        <f>ROUND('GS Pay - No Locality'!E4+('GS Pay - No Locality'!E4*$G$3),0)</f>
        <v>33017</v>
      </c>
      <c r="F28" s="121">
        <f>ROUND('GS Pay - No Locality'!F4+('GS Pay - No Locality'!F4*$G$3),0)</f>
        <v>34018</v>
      </c>
      <c r="G28" s="121">
        <f>ROUND('GS Pay - No Locality'!G4+('GS Pay - No Locality'!G4*$G$3),0)</f>
        <v>35019</v>
      </c>
      <c r="H28" s="121">
        <f>ROUND('GS Pay - No Locality'!H4+('GS Pay - No Locality'!H4*$G$3),0)</f>
        <v>36019</v>
      </c>
      <c r="I28" s="121">
        <f>ROUND('GS Pay - No Locality'!I4+('GS Pay - No Locality'!I4*$G$3),0)</f>
        <v>37020</v>
      </c>
      <c r="J28" s="121">
        <f>ROUND('GS Pay - No Locality'!J4+('GS Pay - No Locality'!J4*$G$3),0)</f>
        <v>38021</v>
      </c>
      <c r="K28" s="121">
        <f>ROUND('GS Pay - No Locality'!K4+('GS Pay - No Locality'!K4*$G$3),0)</f>
        <v>39022</v>
      </c>
    </row>
    <row r="29" spans="1:11" hidden="1" x14ac:dyDescent="0.25">
      <c r="A29" s="120">
        <v>4</v>
      </c>
      <c r="B29" s="121">
        <f>ROUND('GS Pay - No Locality'!B5+('GS Pay - No Locality'!B5*$G$3),0)</f>
        <v>33693</v>
      </c>
      <c r="C29" s="121">
        <f>ROUND('GS Pay - No Locality'!C5+('GS Pay - No Locality'!C5*$G$3),0)</f>
        <v>34816</v>
      </c>
      <c r="D29" s="121">
        <f>ROUND('GS Pay - No Locality'!D5+('GS Pay - No Locality'!D5*$G$3),0)</f>
        <v>35939</v>
      </c>
      <c r="E29" s="121">
        <f>ROUND('GS Pay - No Locality'!E5+('GS Pay - No Locality'!E5*$G$3),0)</f>
        <v>37062</v>
      </c>
      <c r="F29" s="121">
        <f>ROUND('GS Pay - No Locality'!F5+('GS Pay - No Locality'!F5*$G$3),0)</f>
        <v>38185</v>
      </c>
      <c r="G29" s="121">
        <f>ROUND('GS Pay - No Locality'!G5+('GS Pay - No Locality'!G5*$G$3),0)</f>
        <v>39308</v>
      </c>
      <c r="H29" s="121">
        <f>ROUND('GS Pay - No Locality'!H5+('GS Pay - No Locality'!H5*$G$3),0)</f>
        <v>40431</v>
      </c>
      <c r="I29" s="121">
        <f>ROUND('GS Pay - No Locality'!I5+('GS Pay - No Locality'!I5*$G$3),0)</f>
        <v>41554</v>
      </c>
      <c r="J29" s="121">
        <f>ROUND('GS Pay - No Locality'!J5+('GS Pay - No Locality'!J5*$G$3),0)</f>
        <v>42677</v>
      </c>
      <c r="K29" s="121">
        <f>ROUND('GS Pay - No Locality'!K5+('GS Pay - No Locality'!K5*$G$3),0)</f>
        <v>43801</v>
      </c>
    </row>
    <row r="30" spans="1:11" hidden="1" x14ac:dyDescent="0.25">
      <c r="A30" s="120">
        <v>5</v>
      </c>
      <c r="B30" s="121">
        <f>ROUND('GS Pay - No Locality'!B6+('GS Pay - No Locality'!B6*$G$3),0)</f>
        <v>37696</v>
      </c>
      <c r="C30" s="121">
        <f>ROUND('GS Pay - No Locality'!C6+('GS Pay - No Locality'!C6*$G$3),0)</f>
        <v>38953</v>
      </c>
      <c r="D30" s="121">
        <f>ROUND('GS Pay - No Locality'!D6+('GS Pay - No Locality'!D6*$G$3),0)</f>
        <v>40210</v>
      </c>
      <c r="E30" s="121">
        <f>ROUND('GS Pay - No Locality'!E6+('GS Pay - No Locality'!E6*$G$3),0)</f>
        <v>41467</v>
      </c>
      <c r="F30" s="121">
        <f>ROUND('GS Pay - No Locality'!F6+('GS Pay - No Locality'!F6*$G$3),0)</f>
        <v>42724</v>
      </c>
      <c r="G30" s="121">
        <f>ROUND('GS Pay - No Locality'!G6+('GS Pay - No Locality'!G6*$G$3),0)</f>
        <v>43981</v>
      </c>
      <c r="H30" s="121">
        <f>ROUND('GS Pay - No Locality'!H6+('GS Pay - No Locality'!H6*$G$3),0)</f>
        <v>45238</v>
      </c>
      <c r="I30" s="121">
        <f>ROUND('GS Pay - No Locality'!I6+('GS Pay - No Locality'!I6*$G$3),0)</f>
        <v>46495</v>
      </c>
      <c r="J30" s="121">
        <f>ROUND('GS Pay - No Locality'!J6+('GS Pay - No Locality'!J6*$G$3),0)</f>
        <v>47752</v>
      </c>
      <c r="K30" s="121">
        <f>ROUND('GS Pay - No Locality'!K6+('GS Pay - No Locality'!K6*$G$3),0)</f>
        <v>49009</v>
      </c>
    </row>
    <row r="31" spans="1:11" hidden="1" x14ac:dyDescent="0.25">
      <c r="A31" s="120">
        <v>6</v>
      </c>
      <c r="B31" s="121">
        <f>ROUND('GS Pay - No Locality'!B7+('GS Pay - No Locality'!B7*$G$3),0)</f>
        <v>42022</v>
      </c>
      <c r="C31" s="121">
        <f>ROUND('GS Pay - No Locality'!C7+('GS Pay - No Locality'!C7*$G$3),0)</f>
        <v>43422</v>
      </c>
      <c r="D31" s="121">
        <f>ROUND('GS Pay - No Locality'!D7+('GS Pay - No Locality'!D7*$G$3),0)</f>
        <v>44822</v>
      </c>
      <c r="E31" s="121">
        <f>ROUND('GS Pay - No Locality'!E7+('GS Pay - No Locality'!E7*$G$3),0)</f>
        <v>46223</v>
      </c>
      <c r="F31" s="121">
        <f>ROUND('GS Pay - No Locality'!F7+('GS Pay - No Locality'!F7*$G$3),0)</f>
        <v>47623</v>
      </c>
      <c r="G31" s="121">
        <f>ROUND('GS Pay - No Locality'!G7+('GS Pay - No Locality'!G7*$G$3),0)</f>
        <v>49023</v>
      </c>
      <c r="H31" s="121">
        <f>ROUND('GS Pay - No Locality'!H7+('GS Pay - No Locality'!H7*$G$3),0)</f>
        <v>50424</v>
      </c>
      <c r="I31" s="121">
        <f>ROUND('GS Pay - No Locality'!I7+('GS Pay - No Locality'!I7*$G$3),0)</f>
        <v>51824</v>
      </c>
      <c r="J31" s="121">
        <f>ROUND('GS Pay - No Locality'!J7+('GS Pay - No Locality'!J7*$G$3),0)</f>
        <v>53224</v>
      </c>
      <c r="K31" s="121">
        <f>ROUND('GS Pay - No Locality'!K7+('GS Pay - No Locality'!K7*$G$3),0)</f>
        <v>54625</v>
      </c>
    </row>
    <row r="32" spans="1:11" hidden="1" x14ac:dyDescent="0.25">
      <c r="A32" s="120">
        <v>7</v>
      </c>
      <c r="B32" s="121">
        <f>ROUND('GS Pay - No Locality'!B8+('GS Pay - No Locality'!B8*$G$3),0)</f>
        <v>46696</v>
      </c>
      <c r="C32" s="121">
        <f>ROUND('GS Pay - No Locality'!C8+('GS Pay - No Locality'!C8*$G$3),0)</f>
        <v>48252</v>
      </c>
      <c r="D32" s="121">
        <f>ROUND('GS Pay - No Locality'!D8+('GS Pay - No Locality'!D8*$G$3),0)</f>
        <v>49808</v>
      </c>
      <c r="E32" s="121">
        <f>ROUND('GS Pay - No Locality'!E8+('GS Pay - No Locality'!E8*$G$3),0)</f>
        <v>51365</v>
      </c>
      <c r="F32" s="121">
        <f>ROUND('GS Pay - No Locality'!F8+('GS Pay - No Locality'!F8*$G$3),0)</f>
        <v>52921</v>
      </c>
      <c r="G32" s="121">
        <f>ROUND('GS Pay - No Locality'!G8+('GS Pay - No Locality'!G8*$G$3),0)</f>
        <v>54478</v>
      </c>
      <c r="H32" s="121">
        <f>ROUND('GS Pay - No Locality'!H8+('GS Pay - No Locality'!H8*$G$3),0)</f>
        <v>56034</v>
      </c>
      <c r="I32" s="121">
        <f>ROUND('GS Pay - No Locality'!I8+('GS Pay - No Locality'!I8*$G$3),0)</f>
        <v>57591</v>
      </c>
      <c r="J32" s="121">
        <f>ROUND('GS Pay - No Locality'!J8+('GS Pay - No Locality'!J8*$G$3),0)</f>
        <v>59147</v>
      </c>
      <c r="K32" s="121">
        <f>ROUND('GS Pay - No Locality'!K8+('GS Pay - No Locality'!K8*$G$3),0)</f>
        <v>60703</v>
      </c>
    </row>
    <row r="33" spans="1:11" hidden="1" x14ac:dyDescent="0.25">
      <c r="A33" s="120">
        <v>8</v>
      </c>
      <c r="B33" s="121">
        <f>ROUND('GS Pay - No Locality'!B9+('GS Pay - No Locality'!B9*$G$3),0)</f>
        <v>51713</v>
      </c>
      <c r="C33" s="121">
        <f>ROUND('GS Pay - No Locality'!C9+('GS Pay - No Locality'!C9*$G$3),0)</f>
        <v>53437</v>
      </c>
      <c r="D33" s="121">
        <f>ROUND('GS Pay - No Locality'!D9+('GS Pay - No Locality'!D9*$G$3),0)</f>
        <v>55162</v>
      </c>
      <c r="E33" s="121">
        <f>ROUND('GS Pay - No Locality'!E9+('GS Pay - No Locality'!E9*$G$3),0)</f>
        <v>56886</v>
      </c>
      <c r="F33" s="121">
        <f>ROUND('GS Pay - No Locality'!F9+('GS Pay - No Locality'!F9*$G$3),0)</f>
        <v>58610</v>
      </c>
      <c r="G33" s="121">
        <f>ROUND('GS Pay - No Locality'!G9+('GS Pay - No Locality'!G9*$G$3),0)</f>
        <v>60334</v>
      </c>
      <c r="H33" s="121">
        <f>ROUND('GS Pay - No Locality'!H9+('GS Pay - No Locality'!H9*$G$3),0)</f>
        <v>62058</v>
      </c>
      <c r="I33" s="121">
        <f>ROUND('GS Pay - No Locality'!I9+('GS Pay - No Locality'!I9*$G$3),0)</f>
        <v>63783</v>
      </c>
      <c r="J33" s="121">
        <f>ROUND('GS Pay - No Locality'!J9+('GS Pay - No Locality'!J9*$G$3),0)</f>
        <v>65507</v>
      </c>
      <c r="K33" s="121">
        <f>ROUND('GS Pay - No Locality'!K9+('GS Pay - No Locality'!K9*$G$3),0)</f>
        <v>67231</v>
      </c>
    </row>
    <row r="34" spans="1:11" hidden="1" x14ac:dyDescent="0.25">
      <c r="A34" s="120">
        <v>9</v>
      </c>
      <c r="B34" s="121">
        <f>ROUND('GS Pay - No Locality'!B10+('GS Pay - No Locality'!B10*$G$3),0)</f>
        <v>57118</v>
      </c>
      <c r="C34" s="121">
        <f>ROUND('GS Pay - No Locality'!C10+('GS Pay - No Locality'!C10*$G$3),0)</f>
        <v>59021</v>
      </c>
      <c r="D34" s="121">
        <f>ROUND('GS Pay - No Locality'!D10+('GS Pay - No Locality'!D10*$G$3),0)</f>
        <v>60925</v>
      </c>
      <c r="E34" s="121">
        <f>ROUND('GS Pay - No Locality'!E10+('GS Pay - No Locality'!E10*$G$3),0)</f>
        <v>62828</v>
      </c>
      <c r="F34" s="121">
        <f>ROUND('GS Pay - No Locality'!F10+('GS Pay - No Locality'!F10*$G$3),0)</f>
        <v>64732</v>
      </c>
      <c r="G34" s="121">
        <f>ROUND('GS Pay - No Locality'!G10+('GS Pay - No Locality'!G10*$G$3),0)</f>
        <v>66636</v>
      </c>
      <c r="H34" s="121">
        <f>ROUND('GS Pay - No Locality'!H10+('GS Pay - No Locality'!H10*$G$3),0)</f>
        <v>68539</v>
      </c>
      <c r="I34" s="121">
        <f>ROUND('GS Pay - No Locality'!I10+('GS Pay - No Locality'!I10*$G$3),0)</f>
        <v>70443</v>
      </c>
      <c r="J34" s="121">
        <f>ROUND('GS Pay - No Locality'!J10+('GS Pay - No Locality'!J10*$G$3),0)</f>
        <v>72347</v>
      </c>
      <c r="K34" s="121">
        <f>ROUND('GS Pay - No Locality'!K10+('GS Pay - No Locality'!K10*$G$3),0)</f>
        <v>74250</v>
      </c>
    </row>
    <row r="35" spans="1:11" hidden="1" x14ac:dyDescent="0.25">
      <c r="A35" s="120">
        <v>10</v>
      </c>
      <c r="B35" s="121">
        <f>ROUND('GS Pay - No Locality'!B11+('GS Pay - No Locality'!B11*$G$3),0)</f>
        <v>62898</v>
      </c>
      <c r="C35" s="121">
        <f>ROUND('GS Pay - No Locality'!C11+('GS Pay - No Locality'!C11*$G$3),0)</f>
        <v>64995</v>
      </c>
      <c r="D35" s="121">
        <f>ROUND('GS Pay - No Locality'!D11+('GS Pay - No Locality'!D11*$G$3),0)</f>
        <v>67092</v>
      </c>
      <c r="E35" s="121">
        <f>ROUND('GS Pay - No Locality'!E11+('GS Pay - No Locality'!E11*$G$3),0)</f>
        <v>69189</v>
      </c>
      <c r="F35" s="121">
        <f>ROUND('GS Pay - No Locality'!F11+('GS Pay - No Locality'!F11*$G$3),0)</f>
        <v>71286</v>
      </c>
      <c r="G35" s="121">
        <f>ROUND('GS Pay - No Locality'!G11+('GS Pay - No Locality'!G11*$G$3),0)</f>
        <v>73383</v>
      </c>
      <c r="H35" s="121">
        <f>ROUND('GS Pay - No Locality'!H11+('GS Pay - No Locality'!H11*$G$3),0)</f>
        <v>75480</v>
      </c>
      <c r="I35" s="121">
        <f>ROUND('GS Pay - No Locality'!I11+('GS Pay - No Locality'!I11*$G$3),0)</f>
        <v>77577</v>
      </c>
      <c r="J35" s="121">
        <f>ROUND('GS Pay - No Locality'!J11+('GS Pay - No Locality'!J11*$G$3),0)</f>
        <v>79674</v>
      </c>
      <c r="K35" s="121">
        <f>ROUND('GS Pay - No Locality'!K11+('GS Pay - No Locality'!K11*$G$3),0)</f>
        <v>81771</v>
      </c>
    </row>
    <row r="36" spans="1:11" hidden="1" x14ac:dyDescent="0.25">
      <c r="A36" s="120">
        <v>11</v>
      </c>
      <c r="B36" s="121">
        <f>ROUND('GS Pay - No Locality'!B12+('GS Pay - No Locality'!B12*$G$3),0)</f>
        <v>69107</v>
      </c>
      <c r="C36" s="121">
        <f>ROUND('GS Pay - No Locality'!C12+('GS Pay - No Locality'!C12*$G$3),0)</f>
        <v>71410</v>
      </c>
      <c r="D36" s="121">
        <f>ROUND('GS Pay - No Locality'!D12+('GS Pay - No Locality'!D12*$G$3),0)</f>
        <v>73713</v>
      </c>
      <c r="E36" s="121">
        <f>ROUND('GS Pay - No Locality'!E12+('GS Pay - No Locality'!E12*$G$3),0)</f>
        <v>76016</v>
      </c>
      <c r="F36" s="121">
        <f>ROUND('GS Pay - No Locality'!F12+('GS Pay - No Locality'!F12*$G$3),0)</f>
        <v>78319</v>
      </c>
      <c r="G36" s="121">
        <f>ROUND('GS Pay - No Locality'!G12+('GS Pay - No Locality'!G12*$G$3),0)</f>
        <v>80623</v>
      </c>
      <c r="H36" s="121">
        <f>ROUND('GS Pay - No Locality'!H12+('GS Pay - No Locality'!H12*$G$3),0)</f>
        <v>82926</v>
      </c>
      <c r="I36" s="121">
        <f>ROUND('GS Pay - No Locality'!I12+('GS Pay - No Locality'!I12*$G$3),0)</f>
        <v>85229</v>
      </c>
      <c r="J36" s="121">
        <f>ROUND('GS Pay - No Locality'!J12+('GS Pay - No Locality'!J12*$G$3),0)</f>
        <v>87532</v>
      </c>
      <c r="K36" s="121">
        <f>ROUND('GS Pay - No Locality'!K12+('GS Pay - No Locality'!K12*$G$3),0)</f>
        <v>89835</v>
      </c>
    </row>
    <row r="37" spans="1:11" hidden="1" x14ac:dyDescent="0.25">
      <c r="A37" s="120">
        <v>12</v>
      </c>
      <c r="B37" s="121">
        <f>ROUND('GS Pay - No Locality'!B13+('GS Pay - No Locality'!B13*$G$3),0)</f>
        <v>82830</v>
      </c>
      <c r="C37" s="121">
        <f>ROUND('GS Pay - No Locality'!C13+('GS Pay - No Locality'!C13*$G$3),0)</f>
        <v>85591</v>
      </c>
      <c r="D37" s="121">
        <f>ROUND('GS Pay - No Locality'!D13+('GS Pay - No Locality'!D13*$G$3),0)</f>
        <v>88352</v>
      </c>
      <c r="E37" s="121">
        <f>ROUND('GS Pay - No Locality'!E13+('GS Pay - No Locality'!E13*$G$3),0)</f>
        <v>91113</v>
      </c>
      <c r="F37" s="121">
        <f>ROUND('GS Pay - No Locality'!F13+('GS Pay - No Locality'!F13*$G$3),0)</f>
        <v>93875</v>
      </c>
      <c r="G37" s="121">
        <f>ROUND('GS Pay - No Locality'!G13+('GS Pay - No Locality'!G13*$G$3),0)</f>
        <v>96636</v>
      </c>
      <c r="H37" s="121">
        <f>ROUND('GS Pay - No Locality'!H13+('GS Pay - No Locality'!H13*$G$3),0)</f>
        <v>99397</v>
      </c>
      <c r="I37" s="121">
        <f>ROUND('GS Pay - No Locality'!I13+('GS Pay - No Locality'!I13*$G$3),0)</f>
        <v>102158</v>
      </c>
      <c r="J37" s="121">
        <f>ROUND('GS Pay - No Locality'!J13+('GS Pay - No Locality'!J13*$G$3),0)</f>
        <v>104919</v>
      </c>
      <c r="K37" s="121">
        <f>ROUND('GS Pay - No Locality'!K13+('GS Pay - No Locality'!K13*$G$3),0)</f>
        <v>107680</v>
      </c>
    </row>
    <row r="38" spans="1:11" hidden="1" x14ac:dyDescent="0.25">
      <c r="A38" s="120">
        <v>13</v>
      </c>
      <c r="B38" s="121">
        <f>ROUND('GS Pay - No Locality'!B14+('GS Pay - No Locality'!B14*$G$3),0)</f>
        <v>98496</v>
      </c>
      <c r="C38" s="121">
        <f>ROUND('GS Pay - No Locality'!C14+('GS Pay - No Locality'!C14*$G$3),0)</f>
        <v>101779</v>
      </c>
      <c r="D38" s="121">
        <f>ROUND('GS Pay - No Locality'!D14+('GS Pay - No Locality'!D14*$G$3),0)</f>
        <v>105062</v>
      </c>
      <c r="E38" s="121">
        <f>ROUND('GS Pay - No Locality'!E14+('GS Pay - No Locality'!E14*$G$3),0)</f>
        <v>108345</v>
      </c>
      <c r="F38" s="121">
        <f>ROUND('GS Pay - No Locality'!F14+('GS Pay - No Locality'!F14*$G$3),0)</f>
        <v>111628</v>
      </c>
      <c r="G38" s="121">
        <f>ROUND('GS Pay - No Locality'!G14+('GS Pay - No Locality'!G14*$G$3),0)</f>
        <v>114911</v>
      </c>
      <c r="H38" s="121">
        <f>ROUND('GS Pay - No Locality'!H14+('GS Pay - No Locality'!H14*$G$3),0)</f>
        <v>118194</v>
      </c>
      <c r="I38" s="121">
        <f>ROUND('GS Pay - No Locality'!I14+('GS Pay - No Locality'!I14*$G$3),0)</f>
        <v>121477</v>
      </c>
      <c r="J38" s="121">
        <f>ROUND('GS Pay - No Locality'!J14+('GS Pay - No Locality'!J14*$G$3),0)</f>
        <v>124760</v>
      </c>
      <c r="K38" s="121">
        <f>ROUND('GS Pay - No Locality'!K14+('GS Pay - No Locality'!K14*$G$3),0)</f>
        <v>128043</v>
      </c>
    </row>
    <row r="39" spans="1:11" hidden="1" x14ac:dyDescent="0.25">
      <c r="A39" s="120">
        <v>14</v>
      </c>
      <c r="B39" s="121">
        <f>ROUND('GS Pay - No Locality'!B15+('GS Pay - No Locality'!B15*$G$3),0)</f>
        <v>116393</v>
      </c>
      <c r="C39" s="121">
        <f>ROUND('GS Pay - No Locality'!C15+('GS Pay - No Locality'!C15*$G$3),0)</f>
        <v>120272</v>
      </c>
      <c r="D39" s="121">
        <f>ROUND('GS Pay - No Locality'!D15+('GS Pay - No Locality'!D15*$G$3),0)</f>
        <v>124152</v>
      </c>
      <c r="E39" s="121">
        <f>ROUND('GS Pay - No Locality'!E15+('GS Pay - No Locality'!E15*$G$3),0)</f>
        <v>128031</v>
      </c>
      <c r="F39" s="121">
        <f>ROUND('GS Pay - No Locality'!F15+('GS Pay - No Locality'!F15*$G$3),0)</f>
        <v>131911</v>
      </c>
      <c r="G39" s="121">
        <f>ROUND('GS Pay - No Locality'!G15+('GS Pay - No Locality'!G15*$G$3),0)</f>
        <v>135790</v>
      </c>
      <c r="H39" s="121">
        <f>ROUND('GS Pay - No Locality'!H15+('GS Pay - No Locality'!H15*$G$3),0)</f>
        <v>139670</v>
      </c>
      <c r="I39" s="121">
        <f>ROUND('GS Pay - No Locality'!I15+('GS Pay - No Locality'!I15*$G$3),0)</f>
        <v>143549</v>
      </c>
      <c r="J39" s="121">
        <f>ROUND('GS Pay - No Locality'!J15+('GS Pay - No Locality'!J15*$G$3),0)</f>
        <v>147428</v>
      </c>
      <c r="K39" s="121">
        <f>ROUND('GS Pay - No Locality'!K15+('GS Pay - No Locality'!K15*$G$3),0)</f>
        <v>151308</v>
      </c>
    </row>
    <row r="40" spans="1:11" hidden="1" x14ac:dyDescent="0.25">
      <c r="A40" s="91"/>
    </row>
    <row r="41" spans="1:11" ht="12.75" hidden="1" customHeight="1" x14ac:dyDescent="0.25">
      <c r="A41" s="79"/>
      <c r="B41" s="79"/>
      <c r="C41" s="79"/>
      <c r="D41" s="79"/>
      <c r="E41" s="79"/>
      <c r="F41" s="79"/>
      <c r="G41" s="79"/>
      <c r="H41" s="79"/>
      <c r="I41" s="79"/>
      <c r="J41" s="79"/>
      <c r="K41" s="79"/>
    </row>
    <row r="42" spans="1:11" hidden="1" x14ac:dyDescent="0.25">
      <c r="A42" s="82" t="s">
        <v>64</v>
      </c>
    </row>
    <row r="43" spans="1:11" hidden="1" x14ac:dyDescent="0.25">
      <c r="A43" s="79"/>
      <c r="B43" s="79"/>
      <c r="C43" s="79"/>
      <c r="D43" s="79"/>
      <c r="E43" s="79"/>
      <c r="F43" s="79"/>
      <c r="G43" s="79"/>
      <c r="H43" s="79"/>
      <c r="I43" s="79"/>
      <c r="J43" s="79"/>
      <c r="K43" s="79"/>
    </row>
    <row r="44" spans="1:11" hidden="1" x14ac:dyDescent="0.25">
      <c r="A44" s="79" t="str">
        <f>'Start Page'!C30</f>
        <v>Rest of the United States</v>
      </c>
      <c r="B44" s="79"/>
      <c r="C44" s="79"/>
      <c r="D44" s="79"/>
      <c r="E44" s="79"/>
      <c r="F44" s="79"/>
      <c r="G44" s="79"/>
      <c r="H44" s="79"/>
      <c r="I44" s="79"/>
      <c r="J44" s="79"/>
      <c r="K44" s="79"/>
    </row>
    <row r="45" spans="1:11" ht="13.2" hidden="1" customHeight="1" x14ac:dyDescent="0.25">
      <c r="A45" s="79"/>
      <c r="B45" s="79"/>
      <c r="C45" s="79"/>
      <c r="D45" s="79"/>
      <c r="E45" s="79"/>
      <c r="F45" s="79"/>
      <c r="G45" s="79"/>
      <c r="H45" s="79"/>
      <c r="I45" s="79"/>
      <c r="J45" s="79"/>
      <c r="K45" s="79"/>
    </row>
    <row r="46" spans="1:11" hidden="1" x14ac:dyDescent="0.25">
      <c r="A46" s="79" t="s">
        <v>186</v>
      </c>
      <c r="B46" s="79"/>
      <c r="C46" s="143">
        <v>183500</v>
      </c>
      <c r="D46" s="144" t="s">
        <v>187</v>
      </c>
      <c r="E46" s="79"/>
      <c r="F46" s="79"/>
      <c r="G46" s="79"/>
      <c r="H46" s="79"/>
      <c r="I46" s="79"/>
      <c r="J46" s="79"/>
      <c r="K46" s="79"/>
    </row>
    <row r="47" spans="1:11" x14ac:dyDescent="0.25">
      <c r="A47" s="79"/>
      <c r="B47" s="79"/>
      <c r="C47" s="79"/>
      <c r="D47" s="79"/>
      <c r="E47" s="79"/>
      <c r="F47" s="79"/>
      <c r="G47" s="79"/>
      <c r="H47" s="79"/>
      <c r="I47" s="79"/>
      <c r="J47" s="79"/>
      <c r="K47" s="79"/>
    </row>
    <row r="48" spans="1:11" x14ac:dyDescent="0.25">
      <c r="A48" s="79"/>
      <c r="B48" s="79"/>
      <c r="C48" s="79"/>
      <c r="D48" s="79"/>
      <c r="E48" s="79"/>
      <c r="F48" s="79"/>
      <c r="G48" s="79"/>
      <c r="H48" s="79"/>
      <c r="I48" s="79"/>
      <c r="J48" s="79"/>
      <c r="K48" s="79"/>
    </row>
    <row r="49" spans="1:11" x14ac:dyDescent="0.25">
      <c r="A49" s="79"/>
      <c r="B49" s="79"/>
      <c r="C49" s="79"/>
      <c r="D49" s="79"/>
      <c r="E49" s="79"/>
      <c r="F49" s="79"/>
      <c r="G49" s="79"/>
      <c r="H49" s="79"/>
      <c r="I49" s="79"/>
      <c r="J49" s="79"/>
      <c r="K49" s="79"/>
    </row>
    <row r="50" spans="1:11" x14ac:dyDescent="0.25">
      <c r="A50" s="79"/>
      <c r="B50" s="79"/>
      <c r="C50" s="79"/>
      <c r="D50" s="79"/>
      <c r="E50" s="79"/>
      <c r="F50" s="79"/>
      <c r="G50" s="79"/>
      <c r="H50" s="79"/>
      <c r="I50" s="79"/>
      <c r="J50" s="79"/>
      <c r="K50" s="79"/>
    </row>
    <row r="51" spans="1:11" x14ac:dyDescent="0.25">
      <c r="A51" s="79"/>
      <c r="B51" s="79"/>
      <c r="C51" s="79"/>
      <c r="D51" s="79"/>
      <c r="E51" s="79"/>
      <c r="F51" s="79"/>
      <c r="G51" s="79"/>
      <c r="H51" s="79"/>
      <c r="I51" s="79"/>
      <c r="J51" s="79"/>
      <c r="K51" s="79"/>
    </row>
    <row r="52" spans="1:11" x14ac:dyDescent="0.25">
      <c r="A52" s="79"/>
      <c r="B52" s="79"/>
      <c r="C52" s="79"/>
      <c r="D52" s="79"/>
      <c r="E52" s="79"/>
      <c r="F52" s="79"/>
      <c r="G52" s="79"/>
      <c r="H52" s="79"/>
      <c r="I52" s="79"/>
      <c r="J52" s="79"/>
      <c r="K52" s="79"/>
    </row>
    <row r="53" spans="1:11" x14ac:dyDescent="0.25">
      <c r="A53" s="79"/>
      <c r="B53" s="79"/>
      <c r="C53" s="79"/>
      <c r="D53" s="79"/>
      <c r="E53" s="79"/>
      <c r="F53" s="79"/>
      <c r="G53" s="79"/>
      <c r="H53" s="79"/>
      <c r="I53" s="79"/>
      <c r="J53" s="79"/>
      <c r="K53" s="79"/>
    </row>
  </sheetData>
  <sheetProtection algorithmName="SHA-512" hashValue="gkuh1KpTPZQI7d6KqkQ3n19BM1ak7sg6tb4aegnzcZq/2HLwJTfWmlvJ+fI2UCUwK1pyfz2uF3Sxz5kY5xpiRA==" saltValue="AUNgWB4sWQvmNiEaaSVXwA==" spinCount="100000" sheet="1" objects="1" scenarios="1"/>
  <mergeCells count="6">
    <mergeCell ref="B7:K7"/>
    <mergeCell ref="A1:K1"/>
    <mergeCell ref="E6:G6"/>
    <mergeCell ref="E5:H5"/>
    <mergeCell ref="B26:K26"/>
    <mergeCell ref="A2:K2"/>
  </mergeCells>
  <phoneticPr fontId="0" type="noConversion"/>
  <hyperlinks>
    <hyperlink ref="E6:F6" location="'Start Page'!G2" display="Return to Start Page" xr:uid="{00000000-0004-0000-0500-000000000000}"/>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ColWidth="9.109375" defaultRowHeight="13.2" x14ac:dyDescent="0.25"/>
  <cols>
    <col min="1" max="2" width="7.109375" style="79" customWidth="1"/>
    <col min="3" max="3" width="13.88671875" style="79" customWidth="1"/>
    <col min="4" max="13" width="12.6640625" style="79" customWidth="1"/>
    <col min="14" max="16384" width="9.109375" style="79"/>
  </cols>
  <sheetData>
    <row r="1" spans="1:13" ht="25.5" customHeight="1" x14ac:dyDescent="0.4">
      <c r="A1" s="184" t="str">
        <f>'Start Page'!$C$48&amp;" Federal Firefighter Pay Chart"</f>
        <v>2023 Federal Firefighter Pay Chart</v>
      </c>
      <c r="B1" s="184"/>
      <c r="C1" s="184"/>
      <c r="D1" s="184"/>
      <c r="E1" s="184"/>
      <c r="F1" s="184"/>
      <c r="G1" s="184"/>
      <c r="H1" s="184"/>
      <c r="I1" s="184"/>
      <c r="J1" s="184"/>
      <c r="K1" s="184"/>
      <c r="L1" s="184"/>
      <c r="M1" s="184"/>
    </row>
    <row r="2" spans="1:13" ht="25.5" customHeight="1" x14ac:dyDescent="0.35">
      <c r="A2" s="178" t="str">
        <f>"Locality/COLA Area: "&amp;'Start Page'!C30</f>
        <v>Locality/COLA Area: Rest of the United States</v>
      </c>
      <c r="B2" s="178"/>
      <c r="C2" s="178"/>
      <c r="D2" s="178"/>
      <c r="E2" s="178"/>
      <c r="F2" s="178"/>
      <c r="G2" s="178"/>
      <c r="H2" s="178"/>
      <c r="I2" s="178"/>
      <c r="J2" s="178"/>
      <c r="K2" s="178"/>
      <c r="L2" s="178"/>
      <c r="M2" s="178"/>
    </row>
    <row r="3" spans="1:13" ht="25.5" customHeight="1" x14ac:dyDescent="0.4">
      <c r="G3" s="123">
        <f>'Start Page'!D16</f>
        <v>72</v>
      </c>
      <c r="H3" s="124" t="s">
        <v>37</v>
      </c>
    </row>
    <row r="4" spans="1:13" ht="12.75" customHeight="1" x14ac:dyDescent="0.25">
      <c r="F4" s="186" t="str">
        <f>IF('Start Page'!$C$48='GS Pay Calculator'!B2,"","Warning! These pay figures are now estimates only!")</f>
        <v/>
      </c>
      <c r="G4" s="186"/>
      <c r="H4" s="186"/>
      <c r="I4" s="186"/>
    </row>
    <row r="5" spans="1:13" ht="12.75" customHeight="1" x14ac:dyDescent="0.25">
      <c r="G5" s="188" t="s">
        <v>82</v>
      </c>
      <c r="H5" s="188"/>
      <c r="I5" s="125"/>
      <c r="J5" s="125"/>
    </row>
    <row r="6" spans="1:13" x14ac:dyDescent="0.25">
      <c r="A6" s="94" t="s">
        <v>0</v>
      </c>
      <c r="B6" s="94" t="s">
        <v>40</v>
      </c>
      <c r="C6" s="94" t="s">
        <v>1</v>
      </c>
      <c r="D6" s="94" t="s">
        <v>2</v>
      </c>
      <c r="E6" s="94" t="s">
        <v>3</v>
      </c>
      <c r="F6" s="94" t="s">
        <v>4</v>
      </c>
      <c r="G6" s="94" t="s">
        <v>5</v>
      </c>
      <c r="H6" s="94" t="s">
        <v>6</v>
      </c>
      <c r="I6" s="94" t="s">
        <v>7</v>
      </c>
      <c r="J6" s="94" t="s">
        <v>8</v>
      </c>
      <c r="K6" s="94" t="s">
        <v>9</v>
      </c>
      <c r="L6" s="94" t="s">
        <v>10</v>
      </c>
      <c r="M6" s="94" t="s">
        <v>11</v>
      </c>
    </row>
    <row r="7" spans="1:13" x14ac:dyDescent="0.25">
      <c r="A7" s="96"/>
      <c r="B7" s="96"/>
      <c r="C7" s="126" t="s">
        <v>30</v>
      </c>
      <c r="D7" s="127">
        <f>'GS Pay Scale'!B9</f>
        <v>33906</v>
      </c>
      <c r="E7" s="127">
        <f>'GS Pay Scale'!C9</f>
        <v>34765</v>
      </c>
      <c r="F7" s="127">
        <f>'GS Pay Scale'!D9</f>
        <v>35624</v>
      </c>
      <c r="G7" s="127">
        <f>'GS Pay Scale'!E9</f>
        <v>36483</v>
      </c>
      <c r="H7" s="127">
        <f>'GS Pay Scale'!F9</f>
        <v>37342</v>
      </c>
      <c r="I7" s="127">
        <f>'GS Pay Scale'!G9</f>
        <v>38201</v>
      </c>
      <c r="J7" s="127">
        <f>'GS Pay Scale'!H9</f>
        <v>39060</v>
      </c>
      <c r="K7" s="127">
        <f>'GS Pay Scale'!I9</f>
        <v>39919</v>
      </c>
      <c r="L7" s="127">
        <f>'GS Pay Scale'!J9</f>
        <v>40778</v>
      </c>
      <c r="M7" s="127">
        <f>'GS Pay Scale'!K9</f>
        <v>41637</v>
      </c>
    </row>
    <row r="8" spans="1:13" x14ac:dyDescent="0.25">
      <c r="A8" s="96"/>
      <c r="B8" s="96">
        <v>106</v>
      </c>
      <c r="C8" s="105" t="s">
        <v>38</v>
      </c>
      <c r="D8" s="100">
        <f t="shared" ref="D8:M8" si="0">D9*106</f>
        <v>1303.8000000000002</v>
      </c>
      <c r="E8" s="100">
        <f t="shared" si="0"/>
        <v>1336.6599999999999</v>
      </c>
      <c r="F8" s="100">
        <f t="shared" si="0"/>
        <v>1370.58</v>
      </c>
      <c r="G8" s="100">
        <f t="shared" si="0"/>
        <v>1403.44</v>
      </c>
      <c r="H8" s="100">
        <f t="shared" si="0"/>
        <v>1436.3000000000002</v>
      </c>
      <c r="I8" s="100">
        <f t="shared" si="0"/>
        <v>1469.1599999999999</v>
      </c>
      <c r="J8" s="100">
        <f t="shared" si="0"/>
        <v>1502.02</v>
      </c>
      <c r="K8" s="100">
        <f t="shared" si="0"/>
        <v>1534.88</v>
      </c>
      <c r="L8" s="100">
        <f t="shared" si="0"/>
        <v>1568.8000000000002</v>
      </c>
      <c r="M8" s="100">
        <f t="shared" si="0"/>
        <v>1601.6599999999999</v>
      </c>
    </row>
    <row r="9" spans="1:13" x14ac:dyDescent="0.25">
      <c r="A9" s="96"/>
      <c r="B9" s="96"/>
      <c r="C9" s="105" t="s">
        <v>13</v>
      </c>
      <c r="D9" s="100">
        <f>ROUND(D7/2756,2)</f>
        <v>12.3</v>
      </c>
      <c r="E9" s="100">
        <f t="shared" ref="E9:M9" si="1">ROUND(E7/2756,2)</f>
        <v>12.61</v>
      </c>
      <c r="F9" s="100">
        <f t="shared" si="1"/>
        <v>12.93</v>
      </c>
      <c r="G9" s="100">
        <f t="shared" si="1"/>
        <v>13.24</v>
      </c>
      <c r="H9" s="100">
        <f t="shared" si="1"/>
        <v>13.55</v>
      </c>
      <c r="I9" s="100">
        <f t="shared" si="1"/>
        <v>13.86</v>
      </c>
      <c r="J9" s="100">
        <f t="shared" si="1"/>
        <v>14.17</v>
      </c>
      <c r="K9" s="100">
        <f t="shared" si="1"/>
        <v>14.48</v>
      </c>
      <c r="L9" s="100">
        <f t="shared" si="1"/>
        <v>14.8</v>
      </c>
      <c r="M9" s="100">
        <f t="shared" si="1"/>
        <v>15.11</v>
      </c>
    </row>
    <row r="10" spans="1:13" x14ac:dyDescent="0.25">
      <c r="A10" s="99"/>
      <c r="B10" s="104">
        <f>($G$3-53)*2</f>
        <v>38</v>
      </c>
      <c r="C10" s="105" t="s">
        <v>39</v>
      </c>
      <c r="D10" s="100">
        <f>D11*$B$10</f>
        <v>701.1</v>
      </c>
      <c r="E10" s="100">
        <f t="shared" ref="E10:M10" si="2">E11*$B$10</f>
        <v>718.96</v>
      </c>
      <c r="F10" s="100">
        <f t="shared" si="2"/>
        <v>737.19999999999993</v>
      </c>
      <c r="G10" s="100">
        <f t="shared" si="2"/>
        <v>754.68</v>
      </c>
      <c r="H10" s="100">
        <f t="shared" si="2"/>
        <v>772.54</v>
      </c>
      <c r="I10" s="100">
        <f t="shared" si="2"/>
        <v>790.02</v>
      </c>
      <c r="J10" s="100">
        <f t="shared" si="2"/>
        <v>807.88000000000011</v>
      </c>
      <c r="K10" s="100">
        <f t="shared" si="2"/>
        <v>825.3599999999999</v>
      </c>
      <c r="L10" s="100">
        <f t="shared" si="2"/>
        <v>843.6</v>
      </c>
      <c r="M10" s="100">
        <f t="shared" si="2"/>
        <v>861.46</v>
      </c>
    </row>
    <row r="11" spans="1:13" x14ac:dyDescent="0.25">
      <c r="A11" s="96" t="s">
        <v>22</v>
      </c>
      <c r="B11" s="96"/>
      <c r="C11" s="105" t="s">
        <v>14</v>
      </c>
      <c r="D11" s="100">
        <f>IF(ROUND(D9*1.5,2)&lt;$G$122,ROUND(D9*1.5,2),IF($G$122&lt;D9,D9,$G$122))</f>
        <v>18.45</v>
      </c>
      <c r="E11" s="100">
        <f t="shared" ref="E11:M11" si="3">IF(ROUND(E9*1.5,2)&lt;$G$122,ROUND(E9*1.5,2),IF($G$122&lt;E9,E9,$G$122))</f>
        <v>18.920000000000002</v>
      </c>
      <c r="F11" s="100">
        <f t="shared" si="3"/>
        <v>19.399999999999999</v>
      </c>
      <c r="G11" s="100">
        <f t="shared" si="3"/>
        <v>19.86</v>
      </c>
      <c r="H11" s="100">
        <f t="shared" si="3"/>
        <v>20.329999999999998</v>
      </c>
      <c r="I11" s="100">
        <f t="shared" si="3"/>
        <v>20.79</v>
      </c>
      <c r="J11" s="100">
        <f t="shared" si="3"/>
        <v>21.26</v>
      </c>
      <c r="K11" s="100">
        <f t="shared" si="3"/>
        <v>21.72</v>
      </c>
      <c r="L11" s="100">
        <f t="shared" si="3"/>
        <v>22.2</v>
      </c>
      <c r="M11" s="100">
        <f t="shared" si="3"/>
        <v>22.67</v>
      </c>
    </row>
    <row r="12" spans="1:13" s="82" customFormat="1" x14ac:dyDescent="0.25">
      <c r="A12" s="106"/>
      <c r="B12" s="106"/>
      <c r="C12" s="101" t="s">
        <v>43</v>
      </c>
      <c r="D12" s="100">
        <f>ROUND(D9*'Start Page'!$G$32,2)*$B$13</f>
        <v>0</v>
      </c>
      <c r="E12" s="100">
        <f>ROUND(E9*'Start Page'!$G$32,2)*$B$13</f>
        <v>0</v>
      </c>
      <c r="F12" s="100">
        <f>ROUND(F9*'Start Page'!$G$32,2)*$B$13</f>
        <v>0</v>
      </c>
      <c r="G12" s="100">
        <f>ROUND(G9*'Start Page'!$G$32,2)*$B$13</f>
        <v>0</v>
      </c>
      <c r="H12" s="100">
        <f>ROUND(H9*'Start Page'!$G$32,2)*$B$13</f>
        <v>0</v>
      </c>
      <c r="I12" s="100">
        <f>ROUND(I9*'Start Page'!$G$32,2)*$B$13</f>
        <v>0</v>
      </c>
      <c r="J12" s="100">
        <f>ROUND(J9*'Start Page'!$G$32,2)*$B$13</f>
        <v>0</v>
      </c>
      <c r="K12" s="100">
        <f>ROUND(K9*'Start Page'!$G$32,2)*$B$13</f>
        <v>0</v>
      </c>
      <c r="L12" s="100">
        <f>ROUND(L9*'Start Page'!$G$32,2)*$B$13</f>
        <v>0</v>
      </c>
      <c r="M12" s="100">
        <f>ROUND(M9*'Start Page'!$G$32,2)*$B$13</f>
        <v>0</v>
      </c>
    </row>
    <row r="13" spans="1:13" x14ac:dyDescent="0.25">
      <c r="A13" s="96"/>
      <c r="B13" s="96">
        <f>B8+B10</f>
        <v>144</v>
      </c>
      <c r="C13" s="113" t="s">
        <v>17</v>
      </c>
      <c r="D13" s="109">
        <f>D8+D10+D12</f>
        <v>2004.9</v>
      </c>
      <c r="E13" s="109">
        <f t="shared" ref="E13:M13" si="4">E8+E10+E12</f>
        <v>2055.62</v>
      </c>
      <c r="F13" s="109">
        <f t="shared" si="4"/>
        <v>2107.7799999999997</v>
      </c>
      <c r="G13" s="109">
        <f t="shared" si="4"/>
        <v>2158.12</v>
      </c>
      <c r="H13" s="109">
        <f t="shared" si="4"/>
        <v>2208.84</v>
      </c>
      <c r="I13" s="109">
        <f t="shared" si="4"/>
        <v>2259.1799999999998</v>
      </c>
      <c r="J13" s="109">
        <f t="shared" si="4"/>
        <v>2309.9</v>
      </c>
      <c r="K13" s="109">
        <f t="shared" si="4"/>
        <v>2360.2399999999998</v>
      </c>
      <c r="L13" s="109">
        <f t="shared" si="4"/>
        <v>2412.4</v>
      </c>
      <c r="M13" s="109">
        <f t="shared" si="4"/>
        <v>2463.12</v>
      </c>
    </row>
    <row r="14" spans="1:13" x14ac:dyDescent="0.25">
      <c r="A14" s="96"/>
      <c r="B14" s="96"/>
      <c r="C14" s="113" t="s">
        <v>33</v>
      </c>
      <c r="D14" s="109">
        <f>D13*26</f>
        <v>52127.4</v>
      </c>
      <c r="E14" s="109">
        <f t="shared" ref="E14:M14" si="5">E13*26</f>
        <v>53446.119999999995</v>
      </c>
      <c r="F14" s="109">
        <f t="shared" si="5"/>
        <v>54802.279999999992</v>
      </c>
      <c r="G14" s="109">
        <f t="shared" si="5"/>
        <v>56111.119999999995</v>
      </c>
      <c r="H14" s="109">
        <f t="shared" si="5"/>
        <v>57429.840000000004</v>
      </c>
      <c r="I14" s="109">
        <f t="shared" si="5"/>
        <v>58738.679999999993</v>
      </c>
      <c r="J14" s="109">
        <f t="shared" si="5"/>
        <v>60057.4</v>
      </c>
      <c r="K14" s="109">
        <f t="shared" si="5"/>
        <v>61366.239999999991</v>
      </c>
      <c r="L14" s="109">
        <f t="shared" si="5"/>
        <v>62722.400000000001</v>
      </c>
      <c r="M14" s="109">
        <f t="shared" si="5"/>
        <v>64041.119999999995</v>
      </c>
    </row>
    <row r="15" spans="1:13" s="129" customFormat="1" x14ac:dyDescent="0.25">
      <c r="A15" s="110"/>
      <c r="B15" s="110"/>
      <c r="C15" s="111" t="s">
        <v>66</v>
      </c>
      <c r="D15" s="128">
        <f>D9*$B$13*26</f>
        <v>46051.200000000004</v>
      </c>
      <c r="E15" s="128">
        <f t="shared" ref="E15:M15" si="6">E9*$B$13*26</f>
        <v>47211.839999999997</v>
      </c>
      <c r="F15" s="128">
        <f t="shared" si="6"/>
        <v>48409.919999999998</v>
      </c>
      <c r="G15" s="128">
        <f t="shared" si="6"/>
        <v>49570.559999999998</v>
      </c>
      <c r="H15" s="128">
        <f t="shared" si="6"/>
        <v>50731.200000000004</v>
      </c>
      <c r="I15" s="128">
        <f t="shared" si="6"/>
        <v>51891.839999999997</v>
      </c>
      <c r="J15" s="128">
        <f t="shared" si="6"/>
        <v>53052.480000000003</v>
      </c>
      <c r="K15" s="128">
        <f t="shared" si="6"/>
        <v>54213.119999999995</v>
      </c>
      <c r="L15" s="128">
        <f t="shared" si="6"/>
        <v>55411.200000000004</v>
      </c>
      <c r="M15" s="112">
        <f t="shared" si="6"/>
        <v>56571.840000000004</v>
      </c>
    </row>
    <row r="16" spans="1:13" x14ac:dyDescent="0.25">
      <c r="A16" s="95"/>
      <c r="B16" s="96"/>
      <c r="C16" s="126" t="s">
        <v>30</v>
      </c>
      <c r="D16" s="127">
        <f>'GS Pay Scale'!B10</f>
        <v>34584</v>
      </c>
      <c r="E16" s="127">
        <f>'GS Pay Scale'!C10</f>
        <v>35548</v>
      </c>
      <c r="F16" s="127">
        <f>'GS Pay Scale'!D10</f>
        <v>36512</v>
      </c>
      <c r="G16" s="127">
        <f>'GS Pay Scale'!E10</f>
        <v>37476</v>
      </c>
      <c r="H16" s="127">
        <f>'GS Pay Scale'!F10</f>
        <v>38440</v>
      </c>
      <c r="I16" s="127">
        <f>'GS Pay Scale'!G10</f>
        <v>39404</v>
      </c>
      <c r="J16" s="127">
        <f>'GS Pay Scale'!H10</f>
        <v>40431</v>
      </c>
      <c r="K16" s="127">
        <f>'GS Pay Scale'!I10</f>
        <v>41554</v>
      </c>
      <c r="L16" s="127">
        <f>'GS Pay Scale'!J10</f>
        <v>42677</v>
      </c>
      <c r="M16" s="127">
        <f>'GS Pay Scale'!K10</f>
        <v>43801</v>
      </c>
    </row>
    <row r="17" spans="1:13" x14ac:dyDescent="0.25">
      <c r="A17" s="96"/>
      <c r="B17" s="96">
        <v>106</v>
      </c>
      <c r="C17" s="105" t="s">
        <v>38</v>
      </c>
      <c r="D17" s="100">
        <f t="shared" ref="D17:M17" si="7">D18*106</f>
        <v>1330.3000000000002</v>
      </c>
      <c r="E17" s="100">
        <f t="shared" si="7"/>
        <v>1367.4</v>
      </c>
      <c r="F17" s="100">
        <f t="shared" si="7"/>
        <v>1404.5</v>
      </c>
      <c r="G17" s="100">
        <f t="shared" si="7"/>
        <v>1441.6</v>
      </c>
      <c r="H17" s="100">
        <f t="shared" si="7"/>
        <v>1478.6999999999998</v>
      </c>
      <c r="I17" s="100">
        <f t="shared" si="7"/>
        <v>1515.8000000000002</v>
      </c>
      <c r="J17" s="100">
        <f t="shared" si="7"/>
        <v>1555.02</v>
      </c>
      <c r="K17" s="100">
        <f t="shared" si="7"/>
        <v>1598.48</v>
      </c>
      <c r="L17" s="100">
        <f t="shared" si="7"/>
        <v>1641.94</v>
      </c>
      <c r="M17" s="100">
        <f t="shared" si="7"/>
        <v>1684.3400000000001</v>
      </c>
    </row>
    <row r="18" spans="1:13" x14ac:dyDescent="0.25">
      <c r="A18" s="96"/>
      <c r="B18" s="96"/>
      <c r="C18" s="105" t="s">
        <v>13</v>
      </c>
      <c r="D18" s="100">
        <f>ROUND(D16/2756,2)</f>
        <v>12.55</v>
      </c>
      <c r="E18" s="100">
        <f t="shared" ref="E18:M18" si="8">ROUND(E16/2756,2)</f>
        <v>12.9</v>
      </c>
      <c r="F18" s="100">
        <f t="shared" si="8"/>
        <v>13.25</v>
      </c>
      <c r="G18" s="100">
        <f t="shared" si="8"/>
        <v>13.6</v>
      </c>
      <c r="H18" s="100">
        <f t="shared" si="8"/>
        <v>13.95</v>
      </c>
      <c r="I18" s="100">
        <f t="shared" si="8"/>
        <v>14.3</v>
      </c>
      <c r="J18" s="100">
        <f t="shared" si="8"/>
        <v>14.67</v>
      </c>
      <c r="K18" s="100">
        <f t="shared" si="8"/>
        <v>15.08</v>
      </c>
      <c r="L18" s="100">
        <f t="shared" si="8"/>
        <v>15.49</v>
      </c>
      <c r="M18" s="100">
        <f t="shared" si="8"/>
        <v>15.89</v>
      </c>
    </row>
    <row r="19" spans="1:13" x14ac:dyDescent="0.25">
      <c r="A19" s="99"/>
      <c r="B19" s="104">
        <f>($G$3-53)*2</f>
        <v>38</v>
      </c>
      <c r="C19" s="105" t="s">
        <v>39</v>
      </c>
      <c r="D19" s="100">
        <f t="shared" ref="D19:M19" si="9">D20*$B$10</f>
        <v>715.54</v>
      </c>
      <c r="E19" s="100">
        <f t="shared" si="9"/>
        <v>735.30000000000007</v>
      </c>
      <c r="F19" s="100">
        <f t="shared" si="9"/>
        <v>755.43999999999994</v>
      </c>
      <c r="G19" s="100">
        <f t="shared" si="9"/>
        <v>775.19999999999993</v>
      </c>
      <c r="H19" s="100">
        <f t="shared" si="9"/>
        <v>795.34</v>
      </c>
      <c r="I19" s="100">
        <f t="shared" si="9"/>
        <v>815.1</v>
      </c>
      <c r="J19" s="100">
        <f t="shared" si="9"/>
        <v>836.38000000000011</v>
      </c>
      <c r="K19" s="100">
        <f t="shared" si="9"/>
        <v>859.56000000000006</v>
      </c>
      <c r="L19" s="100">
        <f t="shared" si="9"/>
        <v>883.11999999999989</v>
      </c>
      <c r="M19" s="100">
        <f t="shared" si="9"/>
        <v>905.92</v>
      </c>
    </row>
    <row r="20" spans="1:13" x14ac:dyDescent="0.25">
      <c r="A20" s="96" t="s">
        <v>23</v>
      </c>
      <c r="B20" s="96"/>
      <c r="C20" s="105" t="s">
        <v>14</v>
      </c>
      <c r="D20" s="100">
        <f>IF(ROUND(D18*1.5,2)&lt;$G$122,ROUND(D18*1.5,2),IF($G$122&lt;D18,D18,$G$122))</f>
        <v>18.829999999999998</v>
      </c>
      <c r="E20" s="100">
        <f t="shared" ref="E20:M20" si="10">IF(ROUND(E18*1.5,2)&lt;$G$122,ROUND(E18*1.5,2),IF($G$122&lt;E18,E18,$G$122))</f>
        <v>19.350000000000001</v>
      </c>
      <c r="F20" s="100">
        <f t="shared" si="10"/>
        <v>19.88</v>
      </c>
      <c r="G20" s="100">
        <f t="shared" si="10"/>
        <v>20.399999999999999</v>
      </c>
      <c r="H20" s="100">
        <f t="shared" si="10"/>
        <v>20.93</v>
      </c>
      <c r="I20" s="100">
        <f t="shared" si="10"/>
        <v>21.45</v>
      </c>
      <c r="J20" s="100">
        <f t="shared" si="10"/>
        <v>22.01</v>
      </c>
      <c r="K20" s="100">
        <f t="shared" si="10"/>
        <v>22.62</v>
      </c>
      <c r="L20" s="100">
        <f t="shared" si="10"/>
        <v>23.24</v>
      </c>
      <c r="M20" s="100">
        <f t="shared" si="10"/>
        <v>23.84</v>
      </c>
    </row>
    <row r="21" spans="1:13" s="82" customFormat="1" x14ac:dyDescent="0.25">
      <c r="A21" s="106"/>
      <c r="B21" s="106"/>
      <c r="C21" s="101" t="s">
        <v>43</v>
      </c>
      <c r="D21" s="100">
        <f>ROUND(D18*'Start Page'!$G$32,2)*$B$13</f>
        <v>0</v>
      </c>
      <c r="E21" s="100">
        <f>ROUND(E18*'Start Page'!$G$32,2)*$B$13</f>
        <v>0</v>
      </c>
      <c r="F21" s="100">
        <f>ROUND(F18*'Start Page'!$G$32,2)*$B$13</f>
        <v>0</v>
      </c>
      <c r="G21" s="100">
        <f>ROUND(G18*'Start Page'!$G$32,2)*$B$13</f>
        <v>0</v>
      </c>
      <c r="H21" s="100">
        <f>ROUND(H18*'Start Page'!$G$32,2)*$B$13</f>
        <v>0</v>
      </c>
      <c r="I21" s="100">
        <f>ROUND(I18*'Start Page'!$G$32,2)*$B$13</f>
        <v>0</v>
      </c>
      <c r="J21" s="100">
        <f>ROUND(J18*'Start Page'!$G$32,2)*$B$13</f>
        <v>0</v>
      </c>
      <c r="K21" s="100">
        <f>ROUND(K18*'Start Page'!$G$32,2)*$B$13</f>
        <v>0</v>
      </c>
      <c r="L21" s="100">
        <f>ROUND(L18*'Start Page'!$G$32,2)*$B$13</f>
        <v>0</v>
      </c>
      <c r="M21" s="100">
        <f>ROUND(M18*'Start Page'!$G$32,2)*$B$13</f>
        <v>0</v>
      </c>
    </row>
    <row r="22" spans="1:13" x14ac:dyDescent="0.25">
      <c r="A22" s="96"/>
      <c r="B22" s="96">
        <f>B17+B19</f>
        <v>144</v>
      </c>
      <c r="C22" s="113" t="s">
        <v>17</v>
      </c>
      <c r="D22" s="109">
        <f t="shared" ref="D22:M22" si="11">D17+D19+D21</f>
        <v>2045.8400000000001</v>
      </c>
      <c r="E22" s="109">
        <f t="shared" si="11"/>
        <v>2102.7000000000003</v>
      </c>
      <c r="F22" s="109">
        <f t="shared" si="11"/>
        <v>2159.94</v>
      </c>
      <c r="G22" s="109">
        <f t="shared" si="11"/>
        <v>2216.7999999999997</v>
      </c>
      <c r="H22" s="109">
        <f t="shared" si="11"/>
        <v>2274.04</v>
      </c>
      <c r="I22" s="109">
        <f t="shared" si="11"/>
        <v>2330.9</v>
      </c>
      <c r="J22" s="109">
        <f t="shared" si="11"/>
        <v>2391.4</v>
      </c>
      <c r="K22" s="109">
        <f t="shared" si="11"/>
        <v>2458.04</v>
      </c>
      <c r="L22" s="109">
        <f t="shared" si="11"/>
        <v>2525.06</v>
      </c>
      <c r="M22" s="109">
        <f t="shared" si="11"/>
        <v>2590.2600000000002</v>
      </c>
    </row>
    <row r="23" spans="1:13" x14ac:dyDescent="0.25">
      <c r="A23" s="96"/>
      <c r="B23" s="96"/>
      <c r="C23" s="113" t="s">
        <v>33</v>
      </c>
      <c r="D23" s="109">
        <f>D22*26</f>
        <v>53191.840000000004</v>
      </c>
      <c r="E23" s="109">
        <f t="shared" ref="E23" si="12">E22*26</f>
        <v>54670.200000000004</v>
      </c>
      <c r="F23" s="109">
        <f t="shared" ref="F23" si="13">F22*26</f>
        <v>56158.44</v>
      </c>
      <c r="G23" s="109">
        <f t="shared" ref="G23" si="14">G22*26</f>
        <v>57636.799999999996</v>
      </c>
      <c r="H23" s="109">
        <f t="shared" ref="H23" si="15">H22*26</f>
        <v>59125.04</v>
      </c>
      <c r="I23" s="109">
        <f t="shared" ref="I23" si="16">I22*26</f>
        <v>60603.4</v>
      </c>
      <c r="J23" s="109">
        <f t="shared" ref="J23" si="17">J22*26</f>
        <v>62176.4</v>
      </c>
      <c r="K23" s="109">
        <f t="shared" ref="K23" si="18">K22*26</f>
        <v>63909.04</v>
      </c>
      <c r="L23" s="109">
        <f t="shared" ref="L23" si="19">L22*26</f>
        <v>65651.56</v>
      </c>
      <c r="M23" s="109">
        <f t="shared" ref="M23" si="20">M22*26</f>
        <v>67346.760000000009</v>
      </c>
    </row>
    <row r="24" spans="1:13" s="129" customFormat="1" x14ac:dyDescent="0.25">
      <c r="A24" s="110"/>
      <c r="B24" s="110"/>
      <c r="C24" s="111" t="s">
        <v>66</v>
      </c>
      <c r="D24" s="128">
        <f>D18*$B$13*26</f>
        <v>46987.200000000004</v>
      </c>
      <c r="E24" s="128">
        <f t="shared" ref="E24:M24" si="21">E18*$B$13*26</f>
        <v>48297.600000000006</v>
      </c>
      <c r="F24" s="128">
        <f t="shared" si="21"/>
        <v>49608</v>
      </c>
      <c r="G24" s="128">
        <f t="shared" si="21"/>
        <v>50918.399999999994</v>
      </c>
      <c r="H24" s="128">
        <f t="shared" si="21"/>
        <v>52228.799999999996</v>
      </c>
      <c r="I24" s="128">
        <f t="shared" si="21"/>
        <v>53539.200000000004</v>
      </c>
      <c r="J24" s="128">
        <f t="shared" si="21"/>
        <v>54924.480000000003</v>
      </c>
      <c r="K24" s="128">
        <f t="shared" si="21"/>
        <v>56459.519999999997</v>
      </c>
      <c r="L24" s="128">
        <f t="shared" si="21"/>
        <v>57994.559999999998</v>
      </c>
      <c r="M24" s="112">
        <f t="shared" si="21"/>
        <v>59492.159999999996</v>
      </c>
    </row>
    <row r="25" spans="1:13" x14ac:dyDescent="0.25">
      <c r="A25" s="95"/>
      <c r="B25" s="96"/>
      <c r="C25" s="126" t="s">
        <v>30</v>
      </c>
      <c r="D25" s="127">
        <f>'GS Pay Scale'!B11</f>
        <v>37696</v>
      </c>
      <c r="E25" s="127">
        <f>'GS Pay Scale'!C11</f>
        <v>38953</v>
      </c>
      <c r="F25" s="127">
        <f>'GS Pay Scale'!D11</f>
        <v>40210</v>
      </c>
      <c r="G25" s="127">
        <f>'GS Pay Scale'!E11</f>
        <v>41467</v>
      </c>
      <c r="H25" s="127">
        <f>'GS Pay Scale'!F11</f>
        <v>42724</v>
      </c>
      <c r="I25" s="127">
        <f>'GS Pay Scale'!G11</f>
        <v>43981</v>
      </c>
      <c r="J25" s="127">
        <f>'GS Pay Scale'!H11</f>
        <v>45238</v>
      </c>
      <c r="K25" s="127">
        <f>'GS Pay Scale'!I11</f>
        <v>46495</v>
      </c>
      <c r="L25" s="127">
        <f>'GS Pay Scale'!J11</f>
        <v>47752</v>
      </c>
      <c r="M25" s="127">
        <f>'GS Pay Scale'!K11</f>
        <v>49009</v>
      </c>
    </row>
    <row r="26" spans="1:13" x14ac:dyDescent="0.25">
      <c r="A26" s="96"/>
      <c r="B26" s="96">
        <v>106</v>
      </c>
      <c r="C26" s="105" t="s">
        <v>38</v>
      </c>
      <c r="D26" s="100">
        <f t="shared" ref="D26:M26" si="22">D27*106</f>
        <v>1450.08</v>
      </c>
      <c r="E26" s="100">
        <f t="shared" si="22"/>
        <v>1497.78</v>
      </c>
      <c r="F26" s="100">
        <f t="shared" si="22"/>
        <v>1546.54</v>
      </c>
      <c r="G26" s="100">
        <f t="shared" si="22"/>
        <v>1595.3000000000002</v>
      </c>
      <c r="H26" s="100">
        <f t="shared" si="22"/>
        <v>1643</v>
      </c>
      <c r="I26" s="100">
        <f t="shared" si="22"/>
        <v>1691.76</v>
      </c>
      <c r="J26" s="100">
        <f t="shared" si="22"/>
        <v>1739.46</v>
      </c>
      <c r="K26" s="100">
        <f t="shared" si="22"/>
        <v>1788.22</v>
      </c>
      <c r="L26" s="100">
        <f t="shared" si="22"/>
        <v>1836.9799999999998</v>
      </c>
      <c r="M26" s="100">
        <f t="shared" si="22"/>
        <v>1884.68</v>
      </c>
    </row>
    <row r="27" spans="1:13" x14ac:dyDescent="0.25">
      <c r="A27" s="96"/>
      <c r="B27" s="96"/>
      <c r="C27" s="105" t="s">
        <v>13</v>
      </c>
      <c r="D27" s="100">
        <f>ROUND(D25/2756,2)</f>
        <v>13.68</v>
      </c>
      <c r="E27" s="100">
        <f t="shared" ref="E27:M27" si="23">ROUND(E25/2756,2)</f>
        <v>14.13</v>
      </c>
      <c r="F27" s="100">
        <f t="shared" si="23"/>
        <v>14.59</v>
      </c>
      <c r="G27" s="100">
        <f t="shared" si="23"/>
        <v>15.05</v>
      </c>
      <c r="H27" s="100">
        <f t="shared" si="23"/>
        <v>15.5</v>
      </c>
      <c r="I27" s="100">
        <f t="shared" si="23"/>
        <v>15.96</v>
      </c>
      <c r="J27" s="100">
        <f t="shared" si="23"/>
        <v>16.41</v>
      </c>
      <c r="K27" s="100">
        <f t="shared" si="23"/>
        <v>16.87</v>
      </c>
      <c r="L27" s="100">
        <f t="shared" si="23"/>
        <v>17.329999999999998</v>
      </c>
      <c r="M27" s="100">
        <f t="shared" si="23"/>
        <v>17.78</v>
      </c>
    </row>
    <row r="28" spans="1:13" x14ac:dyDescent="0.25">
      <c r="A28" s="99"/>
      <c r="B28" s="104">
        <f>($G$3-53)*2</f>
        <v>38</v>
      </c>
      <c r="C28" s="105" t="s">
        <v>39</v>
      </c>
      <c r="D28" s="100">
        <f t="shared" ref="D28:M28" si="24">D29*$B$10</f>
        <v>779.76</v>
      </c>
      <c r="E28" s="100">
        <f t="shared" si="24"/>
        <v>805.6</v>
      </c>
      <c r="F28" s="100">
        <f t="shared" si="24"/>
        <v>831.82</v>
      </c>
      <c r="G28" s="100">
        <f t="shared" si="24"/>
        <v>858.04</v>
      </c>
      <c r="H28" s="100">
        <f t="shared" si="24"/>
        <v>883.5</v>
      </c>
      <c r="I28" s="100">
        <f t="shared" si="24"/>
        <v>909.72</v>
      </c>
      <c r="J28" s="100">
        <f t="shared" si="24"/>
        <v>935.56000000000006</v>
      </c>
      <c r="K28" s="100">
        <f t="shared" si="24"/>
        <v>961.78</v>
      </c>
      <c r="L28" s="100">
        <f t="shared" si="24"/>
        <v>988</v>
      </c>
      <c r="M28" s="100">
        <f t="shared" si="24"/>
        <v>1013.46</v>
      </c>
    </row>
    <row r="29" spans="1:13" x14ac:dyDescent="0.25">
      <c r="A29" s="96" t="s">
        <v>24</v>
      </c>
      <c r="B29" s="96"/>
      <c r="C29" s="105" t="s">
        <v>14</v>
      </c>
      <c r="D29" s="100">
        <f>IF(ROUND(D27*1.5,2)&lt;$G$122,ROUND(D27*1.5,2),IF($G$122&lt;D27,D27,$G$122))</f>
        <v>20.52</v>
      </c>
      <c r="E29" s="100">
        <f t="shared" ref="E29:M29" si="25">IF(ROUND(E27*1.5,2)&lt;$G$122,ROUND(E27*1.5,2),IF($G$122&lt;E27,E27,$G$122))</f>
        <v>21.2</v>
      </c>
      <c r="F29" s="100">
        <f t="shared" si="25"/>
        <v>21.89</v>
      </c>
      <c r="G29" s="100">
        <f t="shared" si="25"/>
        <v>22.58</v>
      </c>
      <c r="H29" s="100">
        <f t="shared" si="25"/>
        <v>23.25</v>
      </c>
      <c r="I29" s="100">
        <f t="shared" si="25"/>
        <v>23.94</v>
      </c>
      <c r="J29" s="100">
        <f t="shared" si="25"/>
        <v>24.62</v>
      </c>
      <c r="K29" s="100">
        <f t="shared" si="25"/>
        <v>25.31</v>
      </c>
      <c r="L29" s="100">
        <f t="shared" si="25"/>
        <v>26</v>
      </c>
      <c r="M29" s="100">
        <f t="shared" si="25"/>
        <v>26.67</v>
      </c>
    </row>
    <row r="30" spans="1:13" s="82" customFormat="1" x14ac:dyDescent="0.25">
      <c r="A30" s="106"/>
      <c r="B30" s="106"/>
      <c r="C30" s="101" t="s">
        <v>43</v>
      </c>
      <c r="D30" s="100">
        <f>ROUND(D27*'Start Page'!$G$32,2)*$B$13</f>
        <v>0</v>
      </c>
      <c r="E30" s="100">
        <f>ROUND(E27*'Start Page'!$G$32,2)*$B$13</f>
        <v>0</v>
      </c>
      <c r="F30" s="100">
        <f>ROUND(F27*'Start Page'!$G$32,2)*$B$13</f>
        <v>0</v>
      </c>
      <c r="G30" s="100">
        <f>ROUND(G27*'Start Page'!$G$32,2)*$B$13</f>
        <v>0</v>
      </c>
      <c r="H30" s="100">
        <f>ROUND(H27*'Start Page'!$G$32,2)*$B$13</f>
        <v>0</v>
      </c>
      <c r="I30" s="100">
        <f>ROUND(I27*'Start Page'!$G$32,2)*$B$13</f>
        <v>0</v>
      </c>
      <c r="J30" s="100">
        <f>ROUND(J27*'Start Page'!$G$32,2)*$B$13</f>
        <v>0</v>
      </c>
      <c r="K30" s="100">
        <f>ROUND(K27*'Start Page'!$G$32,2)*$B$13</f>
        <v>0</v>
      </c>
      <c r="L30" s="100">
        <f>ROUND(L27*'Start Page'!$G$32,2)*$B$13</f>
        <v>0</v>
      </c>
      <c r="M30" s="100">
        <f>ROUND(M27*'Start Page'!$G$32,2)*$B$13</f>
        <v>0</v>
      </c>
    </row>
    <row r="31" spans="1:13" x14ac:dyDescent="0.25">
      <c r="A31" s="96"/>
      <c r="B31" s="96">
        <f>B26+B28</f>
        <v>144</v>
      </c>
      <c r="C31" s="113" t="s">
        <v>17</v>
      </c>
      <c r="D31" s="109">
        <f t="shared" ref="D31:M31" si="26">D26+D28+D30</f>
        <v>2229.84</v>
      </c>
      <c r="E31" s="109">
        <f t="shared" si="26"/>
        <v>2303.38</v>
      </c>
      <c r="F31" s="109">
        <f t="shared" si="26"/>
        <v>2378.36</v>
      </c>
      <c r="G31" s="109">
        <f t="shared" si="26"/>
        <v>2453.34</v>
      </c>
      <c r="H31" s="109">
        <f t="shared" si="26"/>
        <v>2526.5</v>
      </c>
      <c r="I31" s="109">
        <f t="shared" si="26"/>
        <v>2601.48</v>
      </c>
      <c r="J31" s="109">
        <f t="shared" si="26"/>
        <v>2675.02</v>
      </c>
      <c r="K31" s="109">
        <f t="shared" si="26"/>
        <v>2750</v>
      </c>
      <c r="L31" s="109">
        <f t="shared" si="26"/>
        <v>2824.9799999999996</v>
      </c>
      <c r="M31" s="109">
        <f t="shared" si="26"/>
        <v>2898.1400000000003</v>
      </c>
    </row>
    <row r="32" spans="1:13" x14ac:dyDescent="0.25">
      <c r="A32" s="96"/>
      <c r="B32" s="96"/>
      <c r="C32" s="113" t="s">
        <v>33</v>
      </c>
      <c r="D32" s="109">
        <f>D31*26</f>
        <v>57975.840000000004</v>
      </c>
      <c r="E32" s="109">
        <f t="shared" ref="E32" si="27">E31*26</f>
        <v>59887.880000000005</v>
      </c>
      <c r="F32" s="109">
        <f t="shared" ref="F32" si="28">F31*26</f>
        <v>61837.36</v>
      </c>
      <c r="G32" s="109">
        <f t="shared" ref="G32" si="29">G31*26</f>
        <v>63786.840000000004</v>
      </c>
      <c r="H32" s="109">
        <f t="shared" ref="H32" si="30">H31*26</f>
        <v>65689</v>
      </c>
      <c r="I32" s="109">
        <f t="shared" ref="I32" si="31">I31*26</f>
        <v>67638.48</v>
      </c>
      <c r="J32" s="109">
        <f t="shared" ref="J32" si="32">J31*26</f>
        <v>69550.52</v>
      </c>
      <c r="K32" s="109">
        <f t="shared" ref="K32" si="33">K31*26</f>
        <v>71500</v>
      </c>
      <c r="L32" s="109">
        <f t="shared" ref="L32" si="34">L31*26</f>
        <v>73449.479999999981</v>
      </c>
      <c r="M32" s="109">
        <f t="shared" ref="M32" si="35">M31*26</f>
        <v>75351.640000000014</v>
      </c>
    </row>
    <row r="33" spans="1:13" s="129" customFormat="1" x14ac:dyDescent="0.25">
      <c r="A33" s="110"/>
      <c r="B33" s="110"/>
      <c r="C33" s="111" t="s">
        <v>66</v>
      </c>
      <c r="D33" s="128">
        <f>D27*$B$13*26</f>
        <v>51217.919999999998</v>
      </c>
      <c r="E33" s="128">
        <f t="shared" ref="E33:M33" si="36">E27*$B$13*26</f>
        <v>52902.720000000001</v>
      </c>
      <c r="F33" s="128">
        <f t="shared" si="36"/>
        <v>54624.959999999999</v>
      </c>
      <c r="G33" s="128">
        <f t="shared" si="36"/>
        <v>56347.200000000004</v>
      </c>
      <c r="H33" s="128">
        <f t="shared" si="36"/>
        <v>58032</v>
      </c>
      <c r="I33" s="128">
        <f t="shared" si="36"/>
        <v>59754.240000000005</v>
      </c>
      <c r="J33" s="128">
        <f t="shared" si="36"/>
        <v>61439.040000000001</v>
      </c>
      <c r="K33" s="128">
        <f t="shared" si="36"/>
        <v>63161.280000000006</v>
      </c>
      <c r="L33" s="128">
        <f t="shared" si="36"/>
        <v>64883.51999999999</v>
      </c>
      <c r="M33" s="112">
        <f t="shared" si="36"/>
        <v>66568.320000000007</v>
      </c>
    </row>
    <row r="34" spans="1:13" x14ac:dyDescent="0.25">
      <c r="A34" s="95"/>
      <c r="B34" s="96"/>
      <c r="C34" s="126" t="s">
        <v>30</v>
      </c>
      <c r="D34" s="127">
        <f>'GS Pay Scale'!B12</f>
        <v>42022</v>
      </c>
      <c r="E34" s="127">
        <f>'GS Pay Scale'!C12</f>
        <v>43422</v>
      </c>
      <c r="F34" s="127">
        <f>'GS Pay Scale'!D12</f>
        <v>44822</v>
      </c>
      <c r="G34" s="127">
        <f>'GS Pay Scale'!E12</f>
        <v>46223</v>
      </c>
      <c r="H34" s="127">
        <f>'GS Pay Scale'!F12</f>
        <v>47623</v>
      </c>
      <c r="I34" s="127">
        <f>'GS Pay Scale'!G12</f>
        <v>49023</v>
      </c>
      <c r="J34" s="127">
        <f>'GS Pay Scale'!H12</f>
        <v>50424</v>
      </c>
      <c r="K34" s="127">
        <f>'GS Pay Scale'!I12</f>
        <v>51824</v>
      </c>
      <c r="L34" s="127">
        <f>'GS Pay Scale'!J12</f>
        <v>53224</v>
      </c>
      <c r="M34" s="127">
        <f>'GS Pay Scale'!K12</f>
        <v>54625</v>
      </c>
    </row>
    <row r="35" spans="1:13" x14ac:dyDescent="0.25">
      <c r="A35" s="96"/>
      <c r="B35" s="96">
        <v>106</v>
      </c>
      <c r="C35" s="105" t="s">
        <v>38</v>
      </c>
      <c r="D35" s="100">
        <f t="shared" ref="D35:M35" si="37">D36*106</f>
        <v>1616.5</v>
      </c>
      <c r="E35" s="100">
        <f t="shared" si="37"/>
        <v>1670.56</v>
      </c>
      <c r="F35" s="100">
        <f t="shared" si="37"/>
        <v>1723.5600000000002</v>
      </c>
      <c r="G35" s="100">
        <f t="shared" si="37"/>
        <v>1777.62</v>
      </c>
      <c r="H35" s="100">
        <f t="shared" si="37"/>
        <v>1831.68</v>
      </c>
      <c r="I35" s="100">
        <f t="shared" si="37"/>
        <v>1885.74</v>
      </c>
      <c r="J35" s="100">
        <f t="shared" si="37"/>
        <v>1939.8000000000002</v>
      </c>
      <c r="K35" s="100">
        <f t="shared" si="37"/>
        <v>1992.8000000000002</v>
      </c>
      <c r="L35" s="100">
        <f t="shared" si="37"/>
        <v>2046.86</v>
      </c>
      <c r="M35" s="100">
        <f t="shared" si="37"/>
        <v>2100.92</v>
      </c>
    </row>
    <row r="36" spans="1:13" x14ac:dyDescent="0.25">
      <c r="A36" s="96"/>
      <c r="B36" s="96"/>
      <c r="C36" s="105" t="s">
        <v>13</v>
      </c>
      <c r="D36" s="100">
        <f>ROUND(D34/2756,2)</f>
        <v>15.25</v>
      </c>
      <c r="E36" s="100">
        <f t="shared" ref="E36:M36" si="38">ROUND(E34/2756,2)</f>
        <v>15.76</v>
      </c>
      <c r="F36" s="100">
        <f t="shared" si="38"/>
        <v>16.260000000000002</v>
      </c>
      <c r="G36" s="100">
        <f t="shared" si="38"/>
        <v>16.77</v>
      </c>
      <c r="H36" s="100">
        <f t="shared" si="38"/>
        <v>17.28</v>
      </c>
      <c r="I36" s="100">
        <f t="shared" si="38"/>
        <v>17.79</v>
      </c>
      <c r="J36" s="100">
        <f t="shared" si="38"/>
        <v>18.3</v>
      </c>
      <c r="K36" s="100">
        <f t="shared" si="38"/>
        <v>18.8</v>
      </c>
      <c r="L36" s="100">
        <f t="shared" si="38"/>
        <v>19.309999999999999</v>
      </c>
      <c r="M36" s="100">
        <f t="shared" si="38"/>
        <v>19.82</v>
      </c>
    </row>
    <row r="37" spans="1:13" x14ac:dyDescent="0.25">
      <c r="A37" s="99"/>
      <c r="B37" s="104">
        <f>($G$3-53)*2</f>
        <v>38</v>
      </c>
      <c r="C37" s="105" t="s">
        <v>39</v>
      </c>
      <c r="D37" s="100">
        <f t="shared" ref="D37:M37" si="39">D38*$B$10</f>
        <v>869.43999999999994</v>
      </c>
      <c r="E37" s="100">
        <f t="shared" si="39"/>
        <v>898.32</v>
      </c>
      <c r="F37" s="100">
        <f t="shared" si="39"/>
        <v>926.82</v>
      </c>
      <c r="G37" s="100">
        <f t="shared" si="39"/>
        <v>956.08</v>
      </c>
      <c r="H37" s="100">
        <f t="shared" si="39"/>
        <v>984.96</v>
      </c>
      <c r="I37" s="100">
        <f t="shared" si="39"/>
        <v>1014.22</v>
      </c>
      <c r="J37" s="100">
        <f t="shared" si="39"/>
        <v>1043.0999999999999</v>
      </c>
      <c r="K37" s="100">
        <f t="shared" si="39"/>
        <v>1071.5999999999999</v>
      </c>
      <c r="L37" s="100">
        <f t="shared" si="39"/>
        <v>1100.8599999999999</v>
      </c>
      <c r="M37" s="100">
        <f t="shared" si="39"/>
        <v>1129.74</v>
      </c>
    </row>
    <row r="38" spans="1:13" x14ac:dyDescent="0.25">
      <c r="A38" s="96" t="s">
        <v>18</v>
      </c>
      <c r="B38" s="96"/>
      <c r="C38" s="105" t="s">
        <v>14</v>
      </c>
      <c r="D38" s="100">
        <f>IF(ROUND(D36*1.5,2)&lt;$G$122,ROUND(D36*1.5,2),IF($G$122&lt;D36,D36,$G$122))</f>
        <v>22.88</v>
      </c>
      <c r="E38" s="100">
        <f t="shared" ref="E38:M38" si="40">IF(ROUND(E36*1.5,2)&lt;$G$122,ROUND(E36*1.5,2),IF($G$122&lt;E36,E36,$G$122))</f>
        <v>23.64</v>
      </c>
      <c r="F38" s="100">
        <f t="shared" si="40"/>
        <v>24.39</v>
      </c>
      <c r="G38" s="100">
        <f t="shared" si="40"/>
        <v>25.16</v>
      </c>
      <c r="H38" s="100">
        <f t="shared" si="40"/>
        <v>25.92</v>
      </c>
      <c r="I38" s="100">
        <f t="shared" si="40"/>
        <v>26.69</v>
      </c>
      <c r="J38" s="100">
        <f t="shared" si="40"/>
        <v>27.45</v>
      </c>
      <c r="K38" s="100">
        <f t="shared" si="40"/>
        <v>28.2</v>
      </c>
      <c r="L38" s="100">
        <f t="shared" si="40"/>
        <v>28.97</v>
      </c>
      <c r="M38" s="100">
        <f t="shared" si="40"/>
        <v>29.73</v>
      </c>
    </row>
    <row r="39" spans="1:13" s="82" customFormat="1" x14ac:dyDescent="0.25">
      <c r="A39" s="106"/>
      <c r="B39" s="106"/>
      <c r="C39" s="101" t="s">
        <v>43</v>
      </c>
      <c r="D39" s="100">
        <f>ROUND(D36*'Start Page'!$G$32,2)*$B$13</f>
        <v>0</v>
      </c>
      <c r="E39" s="100">
        <f>ROUND(E36*'Start Page'!$G$32,2)*$B$13</f>
        <v>0</v>
      </c>
      <c r="F39" s="100">
        <f>ROUND(F36*'Start Page'!$G$32,2)*$B$13</f>
        <v>0</v>
      </c>
      <c r="G39" s="100">
        <f>ROUND(G36*'Start Page'!$G$32,2)*$B$13</f>
        <v>0</v>
      </c>
      <c r="H39" s="100">
        <f>ROUND(H36*'Start Page'!$G$32,2)*$B$13</f>
        <v>0</v>
      </c>
      <c r="I39" s="100">
        <f>ROUND(I36*'Start Page'!$G$32,2)*$B$13</f>
        <v>0</v>
      </c>
      <c r="J39" s="100">
        <f>ROUND(J36*'Start Page'!$G$32,2)*$B$13</f>
        <v>0</v>
      </c>
      <c r="K39" s="100">
        <f>ROUND(K36*'Start Page'!$G$32,2)*$B$13</f>
        <v>0</v>
      </c>
      <c r="L39" s="100">
        <f>ROUND(L36*'Start Page'!$G$32,2)*$B$13</f>
        <v>0</v>
      </c>
      <c r="M39" s="100">
        <f>ROUND(M36*'Start Page'!$G$32,2)*$B$13</f>
        <v>0</v>
      </c>
    </row>
    <row r="40" spans="1:13" x14ac:dyDescent="0.25">
      <c r="A40" s="96"/>
      <c r="B40" s="96">
        <f>B35+B37</f>
        <v>144</v>
      </c>
      <c r="C40" s="113" t="s">
        <v>17</v>
      </c>
      <c r="D40" s="109">
        <f t="shared" ref="D40:M40" si="41">D35+D37+D39</f>
        <v>2485.94</v>
      </c>
      <c r="E40" s="109">
        <f t="shared" si="41"/>
        <v>2568.88</v>
      </c>
      <c r="F40" s="109">
        <f t="shared" si="41"/>
        <v>2650.38</v>
      </c>
      <c r="G40" s="109">
        <f t="shared" si="41"/>
        <v>2733.7</v>
      </c>
      <c r="H40" s="109">
        <f t="shared" si="41"/>
        <v>2816.6400000000003</v>
      </c>
      <c r="I40" s="109">
        <f t="shared" si="41"/>
        <v>2899.96</v>
      </c>
      <c r="J40" s="109">
        <f t="shared" si="41"/>
        <v>2982.9</v>
      </c>
      <c r="K40" s="109">
        <f t="shared" si="41"/>
        <v>3064.4</v>
      </c>
      <c r="L40" s="109">
        <f t="shared" si="41"/>
        <v>3147.72</v>
      </c>
      <c r="M40" s="109">
        <f t="shared" si="41"/>
        <v>3230.66</v>
      </c>
    </row>
    <row r="41" spans="1:13" x14ac:dyDescent="0.25">
      <c r="A41" s="96"/>
      <c r="B41" s="96"/>
      <c r="C41" s="113" t="s">
        <v>33</v>
      </c>
      <c r="D41" s="109">
        <f>D40*26</f>
        <v>64634.44</v>
      </c>
      <c r="E41" s="109">
        <f t="shared" ref="E41" si="42">E40*26</f>
        <v>66790.880000000005</v>
      </c>
      <c r="F41" s="109">
        <f t="shared" ref="F41" si="43">F40*26</f>
        <v>68909.88</v>
      </c>
      <c r="G41" s="109">
        <f t="shared" ref="G41" si="44">G40*26</f>
        <v>71076.2</v>
      </c>
      <c r="H41" s="109">
        <f t="shared" ref="H41" si="45">H40*26</f>
        <v>73232.640000000014</v>
      </c>
      <c r="I41" s="109">
        <f t="shared" ref="I41" si="46">I40*26</f>
        <v>75398.960000000006</v>
      </c>
      <c r="J41" s="109">
        <f t="shared" ref="J41" si="47">J40*26</f>
        <v>77555.400000000009</v>
      </c>
      <c r="K41" s="109">
        <f t="shared" ref="K41" si="48">K40*26</f>
        <v>79674.400000000009</v>
      </c>
      <c r="L41" s="109">
        <f t="shared" ref="L41" si="49">L40*26</f>
        <v>81840.72</v>
      </c>
      <c r="M41" s="109">
        <f t="shared" ref="M41" si="50">M40*26</f>
        <v>83997.16</v>
      </c>
    </row>
    <row r="42" spans="1:13" s="129" customFormat="1" x14ac:dyDescent="0.25">
      <c r="A42" s="110"/>
      <c r="B42" s="110"/>
      <c r="C42" s="111" t="s">
        <v>66</v>
      </c>
      <c r="D42" s="128">
        <f>D36*$B$13*26</f>
        <v>57096</v>
      </c>
      <c r="E42" s="128">
        <f t="shared" ref="E42:M42" si="51">E36*$B$13*26</f>
        <v>59005.440000000002</v>
      </c>
      <c r="F42" s="128">
        <f t="shared" si="51"/>
        <v>60877.440000000002</v>
      </c>
      <c r="G42" s="128">
        <f t="shared" si="51"/>
        <v>62786.880000000005</v>
      </c>
      <c r="H42" s="128">
        <f t="shared" si="51"/>
        <v>64696.320000000007</v>
      </c>
      <c r="I42" s="128">
        <f t="shared" si="51"/>
        <v>66605.759999999995</v>
      </c>
      <c r="J42" s="128">
        <f t="shared" si="51"/>
        <v>68515.200000000012</v>
      </c>
      <c r="K42" s="128">
        <f t="shared" si="51"/>
        <v>70387.200000000012</v>
      </c>
      <c r="L42" s="128">
        <f t="shared" si="51"/>
        <v>72296.639999999999</v>
      </c>
      <c r="M42" s="112">
        <f t="shared" si="51"/>
        <v>74206.080000000002</v>
      </c>
    </row>
    <row r="43" spans="1:13" x14ac:dyDescent="0.25">
      <c r="A43" s="96"/>
      <c r="B43" s="96"/>
      <c r="C43" s="126" t="s">
        <v>30</v>
      </c>
      <c r="D43" s="127">
        <f>'GS Pay Scale'!B13</f>
        <v>46696</v>
      </c>
      <c r="E43" s="127">
        <f>'GS Pay Scale'!C13</f>
        <v>48252</v>
      </c>
      <c r="F43" s="127">
        <f>'GS Pay Scale'!D13</f>
        <v>49808</v>
      </c>
      <c r="G43" s="127">
        <f>'GS Pay Scale'!E13</f>
        <v>51365</v>
      </c>
      <c r="H43" s="127">
        <f>'GS Pay Scale'!F13</f>
        <v>52921</v>
      </c>
      <c r="I43" s="127">
        <f>'GS Pay Scale'!G13</f>
        <v>54478</v>
      </c>
      <c r="J43" s="127">
        <f>'GS Pay Scale'!H13</f>
        <v>56034</v>
      </c>
      <c r="K43" s="127">
        <f>'GS Pay Scale'!I13</f>
        <v>57591</v>
      </c>
      <c r="L43" s="127">
        <f>'GS Pay Scale'!J13</f>
        <v>59147</v>
      </c>
      <c r="M43" s="127">
        <f>'GS Pay Scale'!K13</f>
        <v>60703</v>
      </c>
    </row>
    <row r="44" spans="1:13" x14ac:dyDescent="0.25">
      <c r="A44" s="96"/>
      <c r="B44" s="96">
        <v>106</v>
      </c>
      <c r="C44" s="105" t="s">
        <v>38</v>
      </c>
      <c r="D44" s="100">
        <f t="shared" ref="D44:M44" si="52">D45*106</f>
        <v>1795.64</v>
      </c>
      <c r="E44" s="100">
        <f t="shared" si="52"/>
        <v>1856.0600000000002</v>
      </c>
      <c r="F44" s="100">
        <f t="shared" si="52"/>
        <v>1915.42</v>
      </c>
      <c r="G44" s="100">
        <f t="shared" si="52"/>
        <v>1975.8400000000001</v>
      </c>
      <c r="H44" s="100">
        <f t="shared" si="52"/>
        <v>2035.1999999999998</v>
      </c>
      <c r="I44" s="100">
        <f t="shared" si="52"/>
        <v>2095.62</v>
      </c>
      <c r="J44" s="100">
        <f t="shared" si="52"/>
        <v>2154.98</v>
      </c>
      <c r="K44" s="100">
        <f t="shared" si="52"/>
        <v>2215.3999999999996</v>
      </c>
      <c r="L44" s="100">
        <f t="shared" si="52"/>
        <v>2274.7600000000002</v>
      </c>
      <c r="M44" s="100">
        <f t="shared" si="52"/>
        <v>2335.1800000000003</v>
      </c>
    </row>
    <row r="45" spans="1:13" x14ac:dyDescent="0.25">
      <c r="A45" s="96"/>
      <c r="B45" s="96"/>
      <c r="C45" s="105" t="s">
        <v>13</v>
      </c>
      <c r="D45" s="100">
        <f>ROUND(D43/2756,2)</f>
        <v>16.940000000000001</v>
      </c>
      <c r="E45" s="100">
        <f t="shared" ref="E45:M45" si="53">ROUND(E43/2756,2)</f>
        <v>17.510000000000002</v>
      </c>
      <c r="F45" s="100">
        <f t="shared" si="53"/>
        <v>18.07</v>
      </c>
      <c r="G45" s="100">
        <f t="shared" si="53"/>
        <v>18.64</v>
      </c>
      <c r="H45" s="100">
        <f t="shared" si="53"/>
        <v>19.2</v>
      </c>
      <c r="I45" s="100">
        <f t="shared" si="53"/>
        <v>19.77</v>
      </c>
      <c r="J45" s="100">
        <f t="shared" si="53"/>
        <v>20.329999999999998</v>
      </c>
      <c r="K45" s="100">
        <f t="shared" si="53"/>
        <v>20.9</v>
      </c>
      <c r="L45" s="100">
        <f t="shared" si="53"/>
        <v>21.46</v>
      </c>
      <c r="M45" s="100">
        <f t="shared" si="53"/>
        <v>22.03</v>
      </c>
    </row>
    <row r="46" spans="1:13" x14ac:dyDescent="0.25">
      <c r="A46" s="99"/>
      <c r="B46" s="104">
        <f>($G$3-53)*2</f>
        <v>38</v>
      </c>
      <c r="C46" s="105" t="s">
        <v>39</v>
      </c>
      <c r="D46" s="100">
        <f t="shared" ref="D46:M46" si="54">D47*$B$10</f>
        <v>965.58</v>
      </c>
      <c r="E46" s="100">
        <f t="shared" si="54"/>
        <v>998.26</v>
      </c>
      <c r="F46" s="100">
        <f t="shared" si="54"/>
        <v>1030.18</v>
      </c>
      <c r="G46" s="100">
        <f t="shared" si="54"/>
        <v>1062.48</v>
      </c>
      <c r="H46" s="100">
        <f t="shared" si="54"/>
        <v>1094.4000000000001</v>
      </c>
      <c r="I46" s="100">
        <f t="shared" si="54"/>
        <v>1127.08</v>
      </c>
      <c r="J46" s="100">
        <f t="shared" si="54"/>
        <v>1159</v>
      </c>
      <c r="K46" s="100">
        <f t="shared" si="54"/>
        <v>1191.3</v>
      </c>
      <c r="L46" s="100">
        <f t="shared" si="54"/>
        <v>1223.2199999999998</v>
      </c>
      <c r="M46" s="100">
        <f t="shared" si="54"/>
        <v>1255.8999999999999</v>
      </c>
    </row>
    <row r="47" spans="1:13" x14ac:dyDescent="0.25">
      <c r="A47" s="96" t="s">
        <v>12</v>
      </c>
      <c r="B47" s="96"/>
      <c r="C47" s="105" t="s">
        <v>14</v>
      </c>
      <c r="D47" s="100">
        <f>IF(ROUND(D45*1.5,2)&lt;$G$122,ROUND(D45*1.5,2),IF($G$122&lt;D45,D45,$G$122))</f>
        <v>25.41</v>
      </c>
      <c r="E47" s="100">
        <f t="shared" ref="E47:M47" si="55">IF(ROUND(E45*1.5,2)&lt;$G$122,ROUND(E45*1.5,2),IF($G$122&lt;E45,E45,$G$122))</f>
        <v>26.27</v>
      </c>
      <c r="F47" s="100">
        <f t="shared" si="55"/>
        <v>27.11</v>
      </c>
      <c r="G47" s="100">
        <f t="shared" si="55"/>
        <v>27.96</v>
      </c>
      <c r="H47" s="100">
        <f t="shared" si="55"/>
        <v>28.8</v>
      </c>
      <c r="I47" s="100">
        <f t="shared" si="55"/>
        <v>29.66</v>
      </c>
      <c r="J47" s="100">
        <f t="shared" si="55"/>
        <v>30.5</v>
      </c>
      <c r="K47" s="100">
        <f t="shared" si="55"/>
        <v>31.35</v>
      </c>
      <c r="L47" s="100">
        <f t="shared" si="55"/>
        <v>32.19</v>
      </c>
      <c r="M47" s="100">
        <f t="shared" si="55"/>
        <v>33.049999999999997</v>
      </c>
    </row>
    <row r="48" spans="1:13" s="82" customFormat="1" x14ac:dyDescent="0.25">
      <c r="A48" s="106"/>
      <c r="B48" s="106"/>
      <c r="C48" s="101" t="s">
        <v>43</v>
      </c>
      <c r="D48" s="100">
        <f>ROUND(D45*'Start Page'!$G$32,2)*$B$13</f>
        <v>0</v>
      </c>
      <c r="E48" s="100">
        <f>ROUND(E45*'Start Page'!$G$32,2)*$B$13</f>
        <v>0</v>
      </c>
      <c r="F48" s="100">
        <f>ROUND(F45*'Start Page'!$G$32,2)*$B$13</f>
        <v>0</v>
      </c>
      <c r="G48" s="100">
        <f>ROUND(G45*'Start Page'!$G$32,2)*$B$13</f>
        <v>0</v>
      </c>
      <c r="H48" s="100">
        <f>ROUND(H45*'Start Page'!$G$32,2)*$B$13</f>
        <v>0</v>
      </c>
      <c r="I48" s="100">
        <f>ROUND(I45*'Start Page'!$G$32,2)*$B$13</f>
        <v>0</v>
      </c>
      <c r="J48" s="100">
        <f>ROUND(J45*'Start Page'!$G$32,2)*$B$13</f>
        <v>0</v>
      </c>
      <c r="K48" s="100">
        <f>ROUND(K45*'Start Page'!$G$32,2)*$B$13</f>
        <v>0</v>
      </c>
      <c r="L48" s="100">
        <f>ROUND(L45*'Start Page'!$G$32,2)*$B$13</f>
        <v>0</v>
      </c>
      <c r="M48" s="100">
        <f>ROUND(M45*'Start Page'!$G$32,2)*$B$13</f>
        <v>0</v>
      </c>
    </row>
    <row r="49" spans="1:13" x14ac:dyDescent="0.25">
      <c r="A49" s="96"/>
      <c r="B49" s="96">
        <f>B44+B46</f>
        <v>144</v>
      </c>
      <c r="C49" s="113" t="s">
        <v>17</v>
      </c>
      <c r="D49" s="109">
        <f t="shared" ref="D49:M49" si="56">D44+D46+D48</f>
        <v>2761.2200000000003</v>
      </c>
      <c r="E49" s="109">
        <f t="shared" si="56"/>
        <v>2854.32</v>
      </c>
      <c r="F49" s="109">
        <f t="shared" si="56"/>
        <v>2945.6000000000004</v>
      </c>
      <c r="G49" s="109">
        <f t="shared" si="56"/>
        <v>3038.32</v>
      </c>
      <c r="H49" s="109">
        <f t="shared" si="56"/>
        <v>3129.6</v>
      </c>
      <c r="I49" s="109">
        <f t="shared" si="56"/>
        <v>3222.7</v>
      </c>
      <c r="J49" s="109">
        <f t="shared" si="56"/>
        <v>3313.98</v>
      </c>
      <c r="K49" s="109">
        <f t="shared" si="56"/>
        <v>3406.7</v>
      </c>
      <c r="L49" s="109">
        <f t="shared" si="56"/>
        <v>3497.98</v>
      </c>
      <c r="M49" s="109">
        <f t="shared" si="56"/>
        <v>3591.08</v>
      </c>
    </row>
    <row r="50" spans="1:13" x14ac:dyDescent="0.25">
      <c r="A50" s="96"/>
      <c r="B50" s="96"/>
      <c r="C50" s="113" t="s">
        <v>33</v>
      </c>
      <c r="D50" s="109">
        <f>D49*26</f>
        <v>71791.72</v>
      </c>
      <c r="E50" s="109">
        <f t="shared" ref="E50" si="57">E49*26</f>
        <v>74212.320000000007</v>
      </c>
      <c r="F50" s="109">
        <f t="shared" ref="F50" si="58">F49*26</f>
        <v>76585.600000000006</v>
      </c>
      <c r="G50" s="109">
        <f t="shared" ref="G50" si="59">G49*26</f>
        <v>78996.320000000007</v>
      </c>
      <c r="H50" s="109">
        <f t="shared" ref="H50" si="60">H49*26</f>
        <v>81369.599999999991</v>
      </c>
      <c r="I50" s="109">
        <f t="shared" ref="I50" si="61">I49*26</f>
        <v>83790.2</v>
      </c>
      <c r="J50" s="109">
        <f t="shared" ref="J50" si="62">J49*26</f>
        <v>86163.48</v>
      </c>
      <c r="K50" s="109">
        <f t="shared" ref="K50" si="63">K49*26</f>
        <v>88574.2</v>
      </c>
      <c r="L50" s="109">
        <f t="shared" ref="L50" si="64">L49*26</f>
        <v>90947.48</v>
      </c>
      <c r="M50" s="109">
        <f t="shared" ref="M50" si="65">M49*26</f>
        <v>93368.08</v>
      </c>
    </row>
    <row r="51" spans="1:13" s="129" customFormat="1" x14ac:dyDescent="0.25">
      <c r="A51" s="110"/>
      <c r="B51" s="110"/>
      <c r="C51" s="111" t="s">
        <v>66</v>
      </c>
      <c r="D51" s="128">
        <f>D45*$B$13*26</f>
        <v>63423.360000000001</v>
      </c>
      <c r="E51" s="128">
        <f t="shared" ref="E51:M51" si="66">E45*$B$13*26</f>
        <v>65557.440000000002</v>
      </c>
      <c r="F51" s="128">
        <f t="shared" si="66"/>
        <v>67654.080000000002</v>
      </c>
      <c r="G51" s="128">
        <f t="shared" si="66"/>
        <v>69788.160000000003</v>
      </c>
      <c r="H51" s="128">
        <f t="shared" si="66"/>
        <v>71884.799999999988</v>
      </c>
      <c r="I51" s="128">
        <f t="shared" si="66"/>
        <v>74018.880000000005</v>
      </c>
      <c r="J51" s="128">
        <f t="shared" si="66"/>
        <v>76115.51999999999</v>
      </c>
      <c r="K51" s="128">
        <f t="shared" si="66"/>
        <v>78249.599999999991</v>
      </c>
      <c r="L51" s="128">
        <f t="shared" si="66"/>
        <v>80346.240000000005</v>
      </c>
      <c r="M51" s="112">
        <f t="shared" si="66"/>
        <v>82480.320000000007</v>
      </c>
    </row>
    <row r="52" spans="1:13" x14ac:dyDescent="0.25">
      <c r="A52" s="96"/>
      <c r="B52" s="96"/>
      <c r="C52" s="126" t="s">
        <v>30</v>
      </c>
      <c r="D52" s="127">
        <f>'GS Pay Scale'!B14</f>
        <v>51713</v>
      </c>
      <c r="E52" s="127">
        <f>'GS Pay Scale'!C14</f>
        <v>53437</v>
      </c>
      <c r="F52" s="127">
        <f>'GS Pay Scale'!D14</f>
        <v>55162</v>
      </c>
      <c r="G52" s="127">
        <f>'GS Pay Scale'!E14</f>
        <v>56886</v>
      </c>
      <c r="H52" s="127">
        <f>'GS Pay Scale'!F14</f>
        <v>58610</v>
      </c>
      <c r="I52" s="127">
        <f>'GS Pay Scale'!G14</f>
        <v>60334</v>
      </c>
      <c r="J52" s="127">
        <f>'GS Pay Scale'!H14</f>
        <v>62058</v>
      </c>
      <c r="K52" s="127">
        <f>'GS Pay Scale'!I14</f>
        <v>63783</v>
      </c>
      <c r="L52" s="127">
        <f>'GS Pay Scale'!J14</f>
        <v>65507</v>
      </c>
      <c r="M52" s="127">
        <f>'GS Pay Scale'!K14</f>
        <v>67231</v>
      </c>
    </row>
    <row r="53" spans="1:13" x14ac:dyDescent="0.25">
      <c r="A53" s="96"/>
      <c r="B53" s="96">
        <v>106</v>
      </c>
      <c r="C53" s="105" t="s">
        <v>38</v>
      </c>
      <c r="D53" s="100">
        <f t="shared" ref="D53:M53" si="67">D54*106</f>
        <v>1988.5600000000002</v>
      </c>
      <c r="E53" s="100">
        <f t="shared" si="67"/>
        <v>2055.34</v>
      </c>
      <c r="F53" s="100">
        <f t="shared" si="67"/>
        <v>2122.12</v>
      </c>
      <c r="G53" s="100">
        <f t="shared" si="67"/>
        <v>2187.84</v>
      </c>
      <c r="H53" s="100">
        <f t="shared" si="67"/>
        <v>2254.62</v>
      </c>
      <c r="I53" s="100">
        <f t="shared" si="67"/>
        <v>2320.34</v>
      </c>
      <c r="J53" s="100">
        <f t="shared" si="67"/>
        <v>2387.12</v>
      </c>
      <c r="K53" s="100">
        <f t="shared" si="67"/>
        <v>2452.84</v>
      </c>
      <c r="L53" s="100">
        <f t="shared" si="67"/>
        <v>2519.62</v>
      </c>
      <c r="M53" s="100">
        <f t="shared" si="67"/>
        <v>2585.34</v>
      </c>
    </row>
    <row r="54" spans="1:13" x14ac:dyDescent="0.25">
      <c r="A54" s="96"/>
      <c r="B54" s="96"/>
      <c r="C54" s="105" t="s">
        <v>13</v>
      </c>
      <c r="D54" s="100">
        <f>ROUND(D52/2756,2)</f>
        <v>18.760000000000002</v>
      </c>
      <c r="E54" s="100">
        <f t="shared" ref="E54:M54" si="68">ROUND(E52/2756,2)</f>
        <v>19.39</v>
      </c>
      <c r="F54" s="100">
        <f t="shared" si="68"/>
        <v>20.02</v>
      </c>
      <c r="G54" s="100">
        <f t="shared" si="68"/>
        <v>20.64</v>
      </c>
      <c r="H54" s="100">
        <f t="shared" si="68"/>
        <v>21.27</v>
      </c>
      <c r="I54" s="100">
        <f t="shared" si="68"/>
        <v>21.89</v>
      </c>
      <c r="J54" s="100">
        <f t="shared" si="68"/>
        <v>22.52</v>
      </c>
      <c r="K54" s="100">
        <f t="shared" si="68"/>
        <v>23.14</v>
      </c>
      <c r="L54" s="100">
        <f t="shared" si="68"/>
        <v>23.77</v>
      </c>
      <c r="M54" s="100">
        <f t="shared" si="68"/>
        <v>24.39</v>
      </c>
    </row>
    <row r="55" spans="1:13" x14ac:dyDescent="0.25">
      <c r="A55" s="99"/>
      <c r="B55" s="104">
        <f>($G$3-53)*2</f>
        <v>38</v>
      </c>
      <c r="C55" s="105" t="s">
        <v>39</v>
      </c>
      <c r="D55" s="100">
        <f t="shared" ref="D55:M55" si="69">D56*$B$10</f>
        <v>1069.32</v>
      </c>
      <c r="E55" s="100">
        <f t="shared" si="69"/>
        <v>1105.42</v>
      </c>
      <c r="F55" s="100">
        <f t="shared" si="69"/>
        <v>1141.1400000000001</v>
      </c>
      <c r="G55" s="100">
        <f t="shared" si="69"/>
        <v>1176.48</v>
      </c>
      <c r="H55" s="100">
        <f t="shared" si="69"/>
        <v>1212.58</v>
      </c>
      <c r="I55" s="100">
        <f t="shared" si="69"/>
        <v>1247.92</v>
      </c>
      <c r="J55" s="100">
        <f t="shared" si="69"/>
        <v>1283.6400000000001</v>
      </c>
      <c r="K55" s="100">
        <f t="shared" si="69"/>
        <v>1318.98</v>
      </c>
      <c r="L55" s="100">
        <f t="shared" si="69"/>
        <v>1355.08</v>
      </c>
      <c r="M55" s="100">
        <f t="shared" si="69"/>
        <v>1390.42</v>
      </c>
    </row>
    <row r="56" spans="1:13" x14ac:dyDescent="0.25">
      <c r="A56" s="96" t="s">
        <v>15</v>
      </c>
      <c r="B56" s="96"/>
      <c r="C56" s="105" t="s">
        <v>14</v>
      </c>
      <c r="D56" s="100">
        <f>IF(ROUND(D54*1.5,2)&lt;$G$122,ROUND(D54*1.5,2),IF($G$122&lt;D54,D54,$G$122))</f>
        <v>28.14</v>
      </c>
      <c r="E56" s="100">
        <f t="shared" ref="E56:M56" si="70">IF(ROUND(E54*1.5,2)&lt;$G$122,ROUND(E54*1.5,2),IF($G$122&lt;E54,E54,$G$122))</f>
        <v>29.09</v>
      </c>
      <c r="F56" s="100">
        <f t="shared" si="70"/>
        <v>30.03</v>
      </c>
      <c r="G56" s="100">
        <f t="shared" si="70"/>
        <v>30.96</v>
      </c>
      <c r="H56" s="100">
        <f t="shared" si="70"/>
        <v>31.91</v>
      </c>
      <c r="I56" s="100">
        <f t="shared" si="70"/>
        <v>32.840000000000003</v>
      </c>
      <c r="J56" s="100">
        <f t="shared" si="70"/>
        <v>33.78</v>
      </c>
      <c r="K56" s="100">
        <f t="shared" si="70"/>
        <v>34.71</v>
      </c>
      <c r="L56" s="100">
        <f t="shared" si="70"/>
        <v>35.659999999999997</v>
      </c>
      <c r="M56" s="100">
        <f t="shared" si="70"/>
        <v>36.590000000000003</v>
      </c>
    </row>
    <row r="57" spans="1:13" s="82" customFormat="1" x14ac:dyDescent="0.25">
      <c r="A57" s="106"/>
      <c r="B57" s="106"/>
      <c r="C57" s="101" t="s">
        <v>43</v>
      </c>
      <c r="D57" s="100">
        <f>ROUND(D54*'Start Page'!$G$32,2)*$B$13</f>
        <v>0</v>
      </c>
      <c r="E57" s="100">
        <f>ROUND(E54*'Start Page'!$G$32,2)*$B$13</f>
        <v>0</v>
      </c>
      <c r="F57" s="100">
        <f>ROUND(F54*'Start Page'!$G$32,2)*$B$13</f>
        <v>0</v>
      </c>
      <c r="G57" s="100">
        <f>ROUND(G54*'Start Page'!$G$32,2)*$B$13</f>
        <v>0</v>
      </c>
      <c r="H57" s="100">
        <f>ROUND(H54*'Start Page'!$G$32,2)*$B$13</f>
        <v>0</v>
      </c>
      <c r="I57" s="100">
        <f>ROUND(I54*'Start Page'!$G$32,2)*$B$13</f>
        <v>0</v>
      </c>
      <c r="J57" s="100">
        <f>ROUND(J54*'Start Page'!$G$32,2)*$B$13</f>
        <v>0</v>
      </c>
      <c r="K57" s="100">
        <f>ROUND(K54*'Start Page'!$G$32,2)*$B$13</f>
        <v>0</v>
      </c>
      <c r="L57" s="100">
        <f>ROUND(L54*'Start Page'!$G$32,2)*$B$13</f>
        <v>0</v>
      </c>
      <c r="M57" s="100">
        <f>ROUND(M54*'Start Page'!$G$32,2)*$B$13</f>
        <v>0</v>
      </c>
    </row>
    <row r="58" spans="1:13" x14ac:dyDescent="0.25">
      <c r="A58" s="96"/>
      <c r="B58" s="96">
        <f>B53+B55</f>
        <v>144</v>
      </c>
      <c r="C58" s="113" t="s">
        <v>17</v>
      </c>
      <c r="D58" s="109">
        <f t="shared" ref="D58:M58" si="71">D53+D55+D57</f>
        <v>3057.88</v>
      </c>
      <c r="E58" s="109">
        <f t="shared" si="71"/>
        <v>3160.76</v>
      </c>
      <c r="F58" s="109">
        <f t="shared" si="71"/>
        <v>3263.26</v>
      </c>
      <c r="G58" s="109">
        <f t="shared" si="71"/>
        <v>3364.32</v>
      </c>
      <c r="H58" s="109">
        <f t="shared" si="71"/>
        <v>3467.2</v>
      </c>
      <c r="I58" s="109">
        <f t="shared" si="71"/>
        <v>3568.26</v>
      </c>
      <c r="J58" s="109">
        <f t="shared" si="71"/>
        <v>3670.76</v>
      </c>
      <c r="K58" s="109">
        <f t="shared" si="71"/>
        <v>3771.82</v>
      </c>
      <c r="L58" s="109">
        <f t="shared" si="71"/>
        <v>3874.7</v>
      </c>
      <c r="M58" s="109">
        <f t="shared" si="71"/>
        <v>3975.76</v>
      </c>
    </row>
    <row r="59" spans="1:13" x14ac:dyDescent="0.25">
      <c r="A59" s="96"/>
      <c r="B59" s="96"/>
      <c r="C59" s="113" t="s">
        <v>33</v>
      </c>
      <c r="D59" s="109">
        <f>D58*26</f>
        <v>79504.88</v>
      </c>
      <c r="E59" s="109">
        <f t="shared" ref="E59" si="72">E58*26</f>
        <v>82179.760000000009</v>
      </c>
      <c r="F59" s="109">
        <f t="shared" ref="F59" si="73">F58*26</f>
        <v>84844.760000000009</v>
      </c>
      <c r="G59" s="109">
        <f t="shared" ref="G59" si="74">G58*26</f>
        <v>87472.320000000007</v>
      </c>
      <c r="H59" s="109">
        <f t="shared" ref="H59" si="75">H58*26</f>
        <v>90147.199999999997</v>
      </c>
      <c r="I59" s="109">
        <f t="shared" ref="I59" si="76">I58*26</f>
        <v>92774.760000000009</v>
      </c>
      <c r="J59" s="109">
        <f t="shared" ref="J59" si="77">J58*26</f>
        <v>95439.760000000009</v>
      </c>
      <c r="K59" s="109">
        <f t="shared" ref="K59" si="78">K58*26</f>
        <v>98067.32</v>
      </c>
      <c r="L59" s="109">
        <f t="shared" ref="L59" si="79">L58*26</f>
        <v>100742.2</v>
      </c>
      <c r="M59" s="109">
        <f t="shared" ref="M59" si="80">M58*26</f>
        <v>103369.76000000001</v>
      </c>
    </row>
    <row r="60" spans="1:13" s="129" customFormat="1" x14ac:dyDescent="0.25">
      <c r="A60" s="110"/>
      <c r="B60" s="110"/>
      <c r="C60" s="111" t="s">
        <v>66</v>
      </c>
      <c r="D60" s="128">
        <f>D54*$B$13*26</f>
        <v>70237.440000000002</v>
      </c>
      <c r="E60" s="128">
        <f t="shared" ref="E60:M60" si="81">E54*$B$13*26</f>
        <v>72596.160000000003</v>
      </c>
      <c r="F60" s="128">
        <f t="shared" si="81"/>
        <v>74954.880000000005</v>
      </c>
      <c r="G60" s="128">
        <f t="shared" si="81"/>
        <v>77276.160000000003</v>
      </c>
      <c r="H60" s="128">
        <f t="shared" si="81"/>
        <v>79634.880000000005</v>
      </c>
      <c r="I60" s="128">
        <f t="shared" si="81"/>
        <v>81956.160000000003</v>
      </c>
      <c r="J60" s="128">
        <f t="shared" si="81"/>
        <v>84314.880000000005</v>
      </c>
      <c r="K60" s="128">
        <f t="shared" si="81"/>
        <v>86636.160000000003</v>
      </c>
      <c r="L60" s="128">
        <f t="shared" si="81"/>
        <v>88994.880000000005</v>
      </c>
      <c r="M60" s="112">
        <f t="shared" si="81"/>
        <v>91316.160000000003</v>
      </c>
    </row>
    <row r="61" spans="1:13" x14ac:dyDescent="0.25">
      <c r="A61" s="94" t="s">
        <v>0</v>
      </c>
      <c r="B61" s="94" t="s">
        <v>40</v>
      </c>
      <c r="C61" s="94" t="s">
        <v>1</v>
      </c>
      <c r="D61" s="94" t="s">
        <v>2</v>
      </c>
      <c r="E61" s="94" t="s">
        <v>3</v>
      </c>
      <c r="F61" s="94" t="s">
        <v>4</v>
      </c>
      <c r="G61" s="94" t="s">
        <v>5</v>
      </c>
      <c r="H61" s="94" t="s">
        <v>6</v>
      </c>
      <c r="I61" s="94" t="s">
        <v>7</v>
      </c>
      <c r="J61" s="94" t="s">
        <v>8</v>
      </c>
      <c r="K61" s="94" t="s">
        <v>9</v>
      </c>
      <c r="L61" s="94" t="s">
        <v>10</v>
      </c>
      <c r="M61" s="94" t="s">
        <v>11</v>
      </c>
    </row>
    <row r="62" spans="1:13" x14ac:dyDescent="0.25">
      <c r="A62" s="95"/>
      <c r="B62" s="96"/>
      <c r="C62" s="126" t="s">
        <v>30</v>
      </c>
      <c r="D62" s="127">
        <f>'GS Pay Scale'!B15</f>
        <v>57118</v>
      </c>
      <c r="E62" s="127">
        <f>'GS Pay Scale'!C15</f>
        <v>59021</v>
      </c>
      <c r="F62" s="127">
        <f>'GS Pay Scale'!D15</f>
        <v>60925</v>
      </c>
      <c r="G62" s="127">
        <f>'GS Pay Scale'!E15</f>
        <v>62828</v>
      </c>
      <c r="H62" s="127">
        <f>'GS Pay Scale'!F15</f>
        <v>64732</v>
      </c>
      <c r="I62" s="127">
        <f>'GS Pay Scale'!G15</f>
        <v>66636</v>
      </c>
      <c r="J62" s="127">
        <f>'GS Pay Scale'!H15</f>
        <v>68539</v>
      </c>
      <c r="K62" s="127">
        <f>'GS Pay Scale'!I15</f>
        <v>70443</v>
      </c>
      <c r="L62" s="127">
        <f>'GS Pay Scale'!J15</f>
        <v>72347</v>
      </c>
      <c r="M62" s="127">
        <f>'GS Pay Scale'!K15</f>
        <v>74250</v>
      </c>
    </row>
    <row r="63" spans="1:13" x14ac:dyDescent="0.25">
      <c r="A63" s="96"/>
      <c r="B63" s="96">
        <v>106</v>
      </c>
      <c r="C63" s="105" t="s">
        <v>38</v>
      </c>
      <c r="D63" s="100">
        <f t="shared" ref="D63:M63" si="82">D64*106</f>
        <v>2196.3199999999997</v>
      </c>
      <c r="E63" s="100">
        <f t="shared" si="82"/>
        <v>2270.52</v>
      </c>
      <c r="F63" s="100">
        <f t="shared" si="82"/>
        <v>2343.66</v>
      </c>
      <c r="G63" s="100">
        <f t="shared" si="82"/>
        <v>2416.8000000000002</v>
      </c>
      <c r="H63" s="100">
        <f t="shared" si="82"/>
        <v>2489.94</v>
      </c>
      <c r="I63" s="100">
        <f t="shared" si="82"/>
        <v>2563.08</v>
      </c>
      <c r="J63" s="100">
        <f t="shared" si="82"/>
        <v>2636.2200000000003</v>
      </c>
      <c r="K63" s="100">
        <f t="shared" si="82"/>
        <v>2709.3599999999997</v>
      </c>
      <c r="L63" s="100">
        <f t="shared" si="82"/>
        <v>2782.5</v>
      </c>
      <c r="M63" s="100">
        <f t="shared" si="82"/>
        <v>2855.6400000000003</v>
      </c>
    </row>
    <row r="64" spans="1:13" x14ac:dyDescent="0.25">
      <c r="A64" s="96"/>
      <c r="B64" s="96"/>
      <c r="C64" s="105" t="s">
        <v>13</v>
      </c>
      <c r="D64" s="100">
        <f>ROUND(D62/2756,2)</f>
        <v>20.72</v>
      </c>
      <c r="E64" s="100">
        <f t="shared" ref="E64:M64" si="83">ROUND(E62/2756,2)</f>
        <v>21.42</v>
      </c>
      <c r="F64" s="100">
        <f t="shared" si="83"/>
        <v>22.11</v>
      </c>
      <c r="G64" s="100">
        <f t="shared" si="83"/>
        <v>22.8</v>
      </c>
      <c r="H64" s="100">
        <f t="shared" si="83"/>
        <v>23.49</v>
      </c>
      <c r="I64" s="100">
        <f t="shared" si="83"/>
        <v>24.18</v>
      </c>
      <c r="J64" s="100">
        <f t="shared" si="83"/>
        <v>24.87</v>
      </c>
      <c r="K64" s="100">
        <f t="shared" si="83"/>
        <v>25.56</v>
      </c>
      <c r="L64" s="100">
        <f t="shared" si="83"/>
        <v>26.25</v>
      </c>
      <c r="M64" s="100">
        <f t="shared" si="83"/>
        <v>26.94</v>
      </c>
    </row>
    <row r="65" spans="1:13" x14ac:dyDescent="0.25">
      <c r="A65" s="99"/>
      <c r="B65" s="104">
        <f>($G$3-53)*2</f>
        <v>38</v>
      </c>
      <c r="C65" s="105" t="s">
        <v>39</v>
      </c>
      <c r="D65" s="100">
        <f t="shared" ref="D65:M65" si="84">D66*$B$10</f>
        <v>1181.04</v>
      </c>
      <c r="E65" s="100">
        <f t="shared" si="84"/>
        <v>1220.94</v>
      </c>
      <c r="F65" s="100">
        <f t="shared" si="84"/>
        <v>1260.46</v>
      </c>
      <c r="G65" s="100">
        <f t="shared" si="84"/>
        <v>1299.6000000000001</v>
      </c>
      <c r="H65" s="100">
        <f t="shared" si="84"/>
        <v>1339.1200000000001</v>
      </c>
      <c r="I65" s="100">
        <f t="shared" si="84"/>
        <v>1378.2600000000002</v>
      </c>
      <c r="J65" s="100">
        <f t="shared" si="84"/>
        <v>1417.7800000000002</v>
      </c>
      <c r="K65" s="100">
        <f t="shared" si="84"/>
        <v>1456.92</v>
      </c>
      <c r="L65" s="100">
        <f t="shared" si="84"/>
        <v>1496.44</v>
      </c>
      <c r="M65" s="100">
        <f t="shared" si="84"/>
        <v>1535.58</v>
      </c>
    </row>
    <row r="66" spans="1:13" x14ac:dyDescent="0.25">
      <c r="A66" s="96" t="s">
        <v>21</v>
      </c>
      <c r="B66" s="96"/>
      <c r="C66" s="105" t="s">
        <v>14</v>
      </c>
      <c r="D66" s="100">
        <f>IF(ROUND(D64*1.5,2)&lt;$G$122,ROUND(D64*1.5,2),IF($G$122&lt;D64,D64,$G$122))</f>
        <v>31.08</v>
      </c>
      <c r="E66" s="100">
        <f t="shared" ref="E66:M66" si="85">IF(ROUND(E64*1.5,2)&lt;$G$122,ROUND(E64*1.5,2),IF($G$122&lt;E64,E64,$G$122))</f>
        <v>32.130000000000003</v>
      </c>
      <c r="F66" s="100">
        <f t="shared" si="85"/>
        <v>33.17</v>
      </c>
      <c r="G66" s="100">
        <f t="shared" si="85"/>
        <v>34.200000000000003</v>
      </c>
      <c r="H66" s="100">
        <f t="shared" si="85"/>
        <v>35.24</v>
      </c>
      <c r="I66" s="100">
        <f t="shared" si="85"/>
        <v>36.270000000000003</v>
      </c>
      <c r="J66" s="100">
        <f t="shared" si="85"/>
        <v>37.31</v>
      </c>
      <c r="K66" s="100">
        <f t="shared" si="85"/>
        <v>38.340000000000003</v>
      </c>
      <c r="L66" s="100">
        <f t="shared" si="85"/>
        <v>39.380000000000003</v>
      </c>
      <c r="M66" s="100">
        <f t="shared" si="85"/>
        <v>40.409999999999997</v>
      </c>
    </row>
    <row r="67" spans="1:13" s="82" customFormat="1" x14ac:dyDescent="0.25">
      <c r="A67" s="106"/>
      <c r="B67" s="106"/>
      <c r="C67" s="101" t="s">
        <v>43</v>
      </c>
      <c r="D67" s="100">
        <f>ROUND(D64*'Start Page'!$G$32,2)*$B$13</f>
        <v>0</v>
      </c>
      <c r="E67" s="100">
        <f>ROUND(E64*'Start Page'!$G$32,2)*$B$13</f>
        <v>0</v>
      </c>
      <c r="F67" s="100">
        <f>ROUND(F64*'Start Page'!$G$32,2)*$B$13</f>
        <v>0</v>
      </c>
      <c r="G67" s="100">
        <f>ROUND(G64*'Start Page'!$G$32,2)*$B$13</f>
        <v>0</v>
      </c>
      <c r="H67" s="100">
        <f>ROUND(H64*'Start Page'!$G$32,2)*$B$13</f>
        <v>0</v>
      </c>
      <c r="I67" s="100">
        <f>ROUND(I64*'Start Page'!$G$32,2)*$B$13</f>
        <v>0</v>
      </c>
      <c r="J67" s="100">
        <f>ROUND(J64*'Start Page'!$G$32,2)*$B$13</f>
        <v>0</v>
      </c>
      <c r="K67" s="100">
        <f>ROUND(K64*'Start Page'!$G$32,2)*$B$13</f>
        <v>0</v>
      </c>
      <c r="L67" s="100">
        <f>ROUND(L64*'Start Page'!$G$32,2)*$B$13</f>
        <v>0</v>
      </c>
      <c r="M67" s="100">
        <f>ROUND(M64*'Start Page'!$G$32,2)*$B$13</f>
        <v>0</v>
      </c>
    </row>
    <row r="68" spans="1:13" x14ac:dyDescent="0.25">
      <c r="A68" s="96"/>
      <c r="B68" s="96">
        <f>B63+B65</f>
        <v>144</v>
      </c>
      <c r="C68" s="113" t="s">
        <v>17</v>
      </c>
      <c r="D68" s="109">
        <f t="shared" ref="D68:M68" si="86">D63+D65+D67</f>
        <v>3377.3599999999997</v>
      </c>
      <c r="E68" s="109">
        <f t="shared" si="86"/>
        <v>3491.46</v>
      </c>
      <c r="F68" s="109">
        <f t="shared" si="86"/>
        <v>3604.12</v>
      </c>
      <c r="G68" s="109">
        <f t="shared" si="86"/>
        <v>3716.4000000000005</v>
      </c>
      <c r="H68" s="109">
        <f t="shared" si="86"/>
        <v>3829.0600000000004</v>
      </c>
      <c r="I68" s="109">
        <f t="shared" si="86"/>
        <v>3941.34</v>
      </c>
      <c r="J68" s="109">
        <f t="shared" si="86"/>
        <v>4054.0000000000005</v>
      </c>
      <c r="K68" s="109">
        <f t="shared" si="86"/>
        <v>4166.28</v>
      </c>
      <c r="L68" s="109">
        <f t="shared" si="86"/>
        <v>4278.9400000000005</v>
      </c>
      <c r="M68" s="109">
        <f t="shared" si="86"/>
        <v>4391.22</v>
      </c>
    </row>
    <row r="69" spans="1:13" x14ac:dyDescent="0.25">
      <c r="A69" s="96"/>
      <c r="B69" s="96"/>
      <c r="C69" s="113" t="s">
        <v>33</v>
      </c>
      <c r="D69" s="109">
        <f>D68*26</f>
        <v>87811.359999999986</v>
      </c>
      <c r="E69" s="109">
        <f t="shared" ref="E69" si="87">E68*26</f>
        <v>90777.96</v>
      </c>
      <c r="F69" s="109">
        <f t="shared" ref="F69" si="88">F68*26</f>
        <v>93707.12</v>
      </c>
      <c r="G69" s="109">
        <f t="shared" ref="G69" si="89">G68*26</f>
        <v>96626.400000000009</v>
      </c>
      <c r="H69" s="109">
        <f t="shared" ref="H69" si="90">H68*26</f>
        <v>99555.560000000012</v>
      </c>
      <c r="I69" s="109">
        <f t="shared" ref="I69" si="91">I68*26</f>
        <v>102474.84</v>
      </c>
      <c r="J69" s="109">
        <f t="shared" ref="J69" si="92">J68*26</f>
        <v>105404.00000000001</v>
      </c>
      <c r="K69" s="109">
        <f t="shared" ref="K69" si="93">K68*26</f>
        <v>108323.28</v>
      </c>
      <c r="L69" s="109">
        <f t="shared" ref="L69" si="94">L68*26</f>
        <v>111252.44000000002</v>
      </c>
      <c r="M69" s="109">
        <f t="shared" ref="M69" si="95">M68*26</f>
        <v>114171.72</v>
      </c>
    </row>
    <row r="70" spans="1:13" s="129" customFormat="1" x14ac:dyDescent="0.25">
      <c r="A70" s="110"/>
      <c r="B70" s="110"/>
      <c r="C70" s="111" t="s">
        <v>66</v>
      </c>
      <c r="D70" s="128">
        <f>D64*$B$13*26</f>
        <v>77575.679999999993</v>
      </c>
      <c r="E70" s="128">
        <f t="shared" ref="E70:M70" si="96">E64*$B$13*26</f>
        <v>80196.48000000001</v>
      </c>
      <c r="F70" s="128">
        <f t="shared" si="96"/>
        <v>82779.839999999997</v>
      </c>
      <c r="G70" s="128">
        <f t="shared" si="96"/>
        <v>85363.200000000012</v>
      </c>
      <c r="H70" s="128">
        <f t="shared" si="96"/>
        <v>87946.559999999998</v>
      </c>
      <c r="I70" s="128">
        <f t="shared" si="96"/>
        <v>90529.919999999998</v>
      </c>
      <c r="J70" s="128">
        <f t="shared" si="96"/>
        <v>93113.279999999999</v>
      </c>
      <c r="K70" s="128">
        <f t="shared" si="96"/>
        <v>95696.639999999999</v>
      </c>
      <c r="L70" s="128">
        <f t="shared" si="96"/>
        <v>98280</v>
      </c>
      <c r="M70" s="112">
        <f t="shared" si="96"/>
        <v>100863.36</v>
      </c>
    </row>
    <row r="71" spans="1:13" x14ac:dyDescent="0.25">
      <c r="A71" s="96"/>
      <c r="B71" s="96"/>
      <c r="C71" s="126" t="s">
        <v>30</v>
      </c>
      <c r="D71" s="127">
        <f>'GS Pay Scale'!B16</f>
        <v>62898</v>
      </c>
      <c r="E71" s="127">
        <f>'GS Pay Scale'!C16</f>
        <v>64995</v>
      </c>
      <c r="F71" s="127">
        <f>'GS Pay Scale'!D16</f>
        <v>67092</v>
      </c>
      <c r="G71" s="127">
        <f>'GS Pay Scale'!E16</f>
        <v>69189</v>
      </c>
      <c r="H71" s="127">
        <f>'GS Pay Scale'!F16</f>
        <v>71286</v>
      </c>
      <c r="I71" s="127">
        <f>'GS Pay Scale'!G16</f>
        <v>73383</v>
      </c>
      <c r="J71" s="127">
        <f>'GS Pay Scale'!H16</f>
        <v>75480</v>
      </c>
      <c r="K71" s="127">
        <f>'GS Pay Scale'!I16</f>
        <v>77577</v>
      </c>
      <c r="L71" s="127">
        <f>'GS Pay Scale'!J16</f>
        <v>79674</v>
      </c>
      <c r="M71" s="127">
        <f>'GS Pay Scale'!K16</f>
        <v>81771</v>
      </c>
    </row>
    <row r="72" spans="1:13" x14ac:dyDescent="0.25">
      <c r="A72" s="96"/>
      <c r="B72" s="96">
        <v>106</v>
      </c>
      <c r="C72" s="105" t="s">
        <v>38</v>
      </c>
      <c r="D72" s="100">
        <f t="shared" ref="D72:M72" si="97">D73*106</f>
        <v>2418.92</v>
      </c>
      <c r="E72" s="100">
        <f t="shared" si="97"/>
        <v>2499.48</v>
      </c>
      <c r="F72" s="100">
        <f t="shared" si="97"/>
        <v>2580.04</v>
      </c>
      <c r="G72" s="100">
        <f t="shared" si="97"/>
        <v>2660.6000000000004</v>
      </c>
      <c r="H72" s="100">
        <f t="shared" si="97"/>
        <v>2742.2200000000003</v>
      </c>
      <c r="I72" s="100">
        <f t="shared" si="97"/>
        <v>2822.7799999999997</v>
      </c>
      <c r="J72" s="100">
        <f t="shared" si="97"/>
        <v>2903.34</v>
      </c>
      <c r="K72" s="100">
        <f t="shared" si="97"/>
        <v>2983.8999999999996</v>
      </c>
      <c r="L72" s="100">
        <f t="shared" si="97"/>
        <v>3064.46</v>
      </c>
      <c r="M72" s="100">
        <f t="shared" si="97"/>
        <v>3145.02</v>
      </c>
    </row>
    <row r="73" spans="1:13" x14ac:dyDescent="0.25">
      <c r="A73" s="96"/>
      <c r="B73" s="96"/>
      <c r="C73" s="105" t="s">
        <v>13</v>
      </c>
      <c r="D73" s="100">
        <f t="shared" ref="D73:M73" si="98">ROUND(D71/2756,2)</f>
        <v>22.82</v>
      </c>
      <c r="E73" s="100">
        <f t="shared" si="98"/>
        <v>23.58</v>
      </c>
      <c r="F73" s="100">
        <f t="shared" si="98"/>
        <v>24.34</v>
      </c>
      <c r="G73" s="100">
        <f t="shared" si="98"/>
        <v>25.1</v>
      </c>
      <c r="H73" s="100">
        <f t="shared" si="98"/>
        <v>25.87</v>
      </c>
      <c r="I73" s="100">
        <f t="shared" si="98"/>
        <v>26.63</v>
      </c>
      <c r="J73" s="100">
        <f t="shared" si="98"/>
        <v>27.39</v>
      </c>
      <c r="K73" s="100">
        <f t="shared" si="98"/>
        <v>28.15</v>
      </c>
      <c r="L73" s="100">
        <f t="shared" si="98"/>
        <v>28.91</v>
      </c>
      <c r="M73" s="100">
        <f t="shared" si="98"/>
        <v>29.67</v>
      </c>
    </row>
    <row r="74" spans="1:13" x14ac:dyDescent="0.25">
      <c r="A74" s="99"/>
      <c r="B74" s="104">
        <f>($G$3-53)*2</f>
        <v>38</v>
      </c>
      <c r="C74" s="105" t="s">
        <v>39</v>
      </c>
      <c r="D74" s="100">
        <f t="shared" ref="D74:M74" si="99">D75*$B$10</f>
        <v>1300.7399999999998</v>
      </c>
      <c r="E74" s="100">
        <f t="shared" si="99"/>
        <v>1344.06</v>
      </c>
      <c r="F74" s="100">
        <f t="shared" si="99"/>
        <v>1387.3799999999999</v>
      </c>
      <c r="G74" s="100">
        <f t="shared" si="99"/>
        <v>1430.7</v>
      </c>
      <c r="H74" s="100">
        <f t="shared" si="99"/>
        <v>1474.7800000000002</v>
      </c>
      <c r="I74" s="100">
        <f t="shared" si="99"/>
        <v>1518.1000000000001</v>
      </c>
      <c r="J74" s="100">
        <f t="shared" si="99"/>
        <v>1561.42</v>
      </c>
      <c r="K74" s="100">
        <f t="shared" si="99"/>
        <v>1604.7399999999998</v>
      </c>
      <c r="L74" s="100">
        <f t="shared" si="99"/>
        <v>1648.06</v>
      </c>
      <c r="M74" s="100">
        <f t="shared" si="99"/>
        <v>1691.3799999999999</v>
      </c>
    </row>
    <row r="75" spans="1:13" x14ac:dyDescent="0.25">
      <c r="A75" s="96" t="s">
        <v>25</v>
      </c>
      <c r="B75" s="96"/>
      <c r="C75" s="105" t="s">
        <v>14</v>
      </c>
      <c r="D75" s="100">
        <f t="shared" ref="D75:M75" si="100">IF(ROUND(D73*1.5,2)&lt;$G$122,ROUND(D73*1.5,2),IF($G$122&lt;D73,D73,$G$122))</f>
        <v>34.229999999999997</v>
      </c>
      <c r="E75" s="100">
        <f t="shared" si="100"/>
        <v>35.369999999999997</v>
      </c>
      <c r="F75" s="100">
        <f t="shared" si="100"/>
        <v>36.51</v>
      </c>
      <c r="G75" s="100">
        <f t="shared" si="100"/>
        <v>37.65</v>
      </c>
      <c r="H75" s="100">
        <f t="shared" si="100"/>
        <v>38.81</v>
      </c>
      <c r="I75" s="100">
        <f t="shared" si="100"/>
        <v>39.950000000000003</v>
      </c>
      <c r="J75" s="100">
        <f t="shared" si="100"/>
        <v>41.09</v>
      </c>
      <c r="K75" s="100">
        <f t="shared" si="100"/>
        <v>42.23</v>
      </c>
      <c r="L75" s="100">
        <f t="shared" si="100"/>
        <v>43.37</v>
      </c>
      <c r="M75" s="100">
        <f t="shared" si="100"/>
        <v>44.51</v>
      </c>
    </row>
    <row r="76" spans="1:13" s="82" customFormat="1" x14ac:dyDescent="0.25">
      <c r="A76" s="106"/>
      <c r="B76" s="106"/>
      <c r="C76" s="101" t="s">
        <v>43</v>
      </c>
      <c r="D76" s="100">
        <f>ROUND(D73*'Start Page'!$G$32,2)*$B$13</f>
        <v>0</v>
      </c>
      <c r="E76" s="100">
        <f>ROUND(E73*'Start Page'!$G$32,2)*$B$13</f>
        <v>0</v>
      </c>
      <c r="F76" s="100">
        <f>ROUND(F73*'Start Page'!$G$32,2)*$B$13</f>
        <v>0</v>
      </c>
      <c r="G76" s="100">
        <f>ROUND(G73*'Start Page'!$G$32,2)*$B$13</f>
        <v>0</v>
      </c>
      <c r="H76" s="100">
        <f>ROUND(H73*'Start Page'!$G$32,2)*$B$13</f>
        <v>0</v>
      </c>
      <c r="I76" s="100">
        <f>ROUND(I73*'Start Page'!$G$32,2)*$B$13</f>
        <v>0</v>
      </c>
      <c r="J76" s="100">
        <f>ROUND(J73*'Start Page'!$G$32,2)*$B$13</f>
        <v>0</v>
      </c>
      <c r="K76" s="100">
        <f>ROUND(K73*'Start Page'!$G$32,2)*$B$13</f>
        <v>0</v>
      </c>
      <c r="L76" s="100">
        <f>ROUND(L73*'Start Page'!$G$32,2)*$B$13</f>
        <v>0</v>
      </c>
      <c r="M76" s="100">
        <f>ROUND(M73*'Start Page'!$G$32,2)*$B$13</f>
        <v>0</v>
      </c>
    </row>
    <row r="77" spans="1:13" x14ac:dyDescent="0.25">
      <c r="A77" s="96"/>
      <c r="B77" s="96">
        <f>B72+B74</f>
        <v>144</v>
      </c>
      <c r="C77" s="113" t="s">
        <v>17</v>
      </c>
      <c r="D77" s="109">
        <f t="shared" ref="D77:M77" si="101">D72+D74+D76</f>
        <v>3719.66</v>
      </c>
      <c r="E77" s="109">
        <f t="shared" si="101"/>
        <v>3843.54</v>
      </c>
      <c r="F77" s="109">
        <f t="shared" si="101"/>
        <v>3967.42</v>
      </c>
      <c r="G77" s="109">
        <f t="shared" si="101"/>
        <v>4091.3</v>
      </c>
      <c r="H77" s="109">
        <f t="shared" si="101"/>
        <v>4217</v>
      </c>
      <c r="I77" s="109">
        <f t="shared" si="101"/>
        <v>4340.88</v>
      </c>
      <c r="J77" s="109">
        <f t="shared" si="101"/>
        <v>4464.76</v>
      </c>
      <c r="K77" s="109">
        <f t="shared" si="101"/>
        <v>4588.6399999999994</v>
      </c>
      <c r="L77" s="109">
        <f t="shared" si="101"/>
        <v>4712.5200000000004</v>
      </c>
      <c r="M77" s="109">
        <f t="shared" si="101"/>
        <v>4836.3999999999996</v>
      </c>
    </row>
    <row r="78" spans="1:13" x14ac:dyDescent="0.25">
      <c r="A78" s="96"/>
      <c r="B78" s="96"/>
      <c r="C78" s="113" t="s">
        <v>33</v>
      </c>
      <c r="D78" s="109">
        <f>D77*26</f>
        <v>96711.16</v>
      </c>
      <c r="E78" s="109">
        <f t="shared" ref="E78" si="102">E77*26</f>
        <v>99932.04</v>
      </c>
      <c r="F78" s="109">
        <f t="shared" ref="F78" si="103">F77*26</f>
        <v>103152.92</v>
      </c>
      <c r="G78" s="109">
        <f t="shared" ref="G78" si="104">G77*26</f>
        <v>106373.8</v>
      </c>
      <c r="H78" s="109">
        <f t="shared" ref="H78" si="105">H77*26</f>
        <v>109642</v>
      </c>
      <c r="I78" s="109">
        <f t="shared" ref="I78" si="106">I77*26</f>
        <v>112862.88</v>
      </c>
      <c r="J78" s="109">
        <f t="shared" ref="J78" si="107">J77*26</f>
        <v>116083.76000000001</v>
      </c>
      <c r="K78" s="109">
        <f t="shared" ref="K78" si="108">K77*26</f>
        <v>119304.63999999998</v>
      </c>
      <c r="L78" s="109">
        <f t="shared" ref="L78" si="109">L77*26</f>
        <v>122525.52000000002</v>
      </c>
      <c r="M78" s="109">
        <f t="shared" ref="M78" si="110">M77*26</f>
        <v>125746.4</v>
      </c>
    </row>
    <row r="79" spans="1:13" s="129" customFormat="1" x14ac:dyDescent="0.25">
      <c r="A79" s="110"/>
      <c r="B79" s="110"/>
      <c r="C79" s="111" t="s">
        <v>66</v>
      </c>
      <c r="D79" s="128">
        <f>D73*$B$13*26</f>
        <v>85438.080000000002</v>
      </c>
      <c r="E79" s="128">
        <f t="shared" ref="E79:M79" si="111">E73*$B$13*26</f>
        <v>88283.51999999999</v>
      </c>
      <c r="F79" s="128">
        <f t="shared" si="111"/>
        <v>91128.960000000006</v>
      </c>
      <c r="G79" s="128">
        <f t="shared" si="111"/>
        <v>93974.400000000009</v>
      </c>
      <c r="H79" s="128">
        <f t="shared" si="111"/>
        <v>96857.279999999999</v>
      </c>
      <c r="I79" s="128">
        <f t="shared" si="111"/>
        <v>99702.720000000001</v>
      </c>
      <c r="J79" s="128">
        <f t="shared" si="111"/>
        <v>102548.16</v>
      </c>
      <c r="K79" s="128">
        <f t="shared" si="111"/>
        <v>105393.59999999999</v>
      </c>
      <c r="L79" s="128">
        <f t="shared" si="111"/>
        <v>108239.03999999999</v>
      </c>
      <c r="M79" s="112">
        <f t="shared" si="111"/>
        <v>111084.48000000001</v>
      </c>
    </row>
    <row r="80" spans="1:13" x14ac:dyDescent="0.25">
      <c r="A80" s="96"/>
      <c r="B80" s="96"/>
      <c r="C80" s="126" t="s">
        <v>30</v>
      </c>
      <c r="D80" s="127">
        <f>'GS Pay Scale'!B17</f>
        <v>69107</v>
      </c>
      <c r="E80" s="127">
        <f>'GS Pay Scale'!C17</f>
        <v>71410</v>
      </c>
      <c r="F80" s="127">
        <f>'GS Pay Scale'!D17</f>
        <v>73713</v>
      </c>
      <c r="G80" s="127">
        <f>'GS Pay Scale'!E17</f>
        <v>76016</v>
      </c>
      <c r="H80" s="127">
        <f>'GS Pay Scale'!F17</f>
        <v>78319</v>
      </c>
      <c r="I80" s="127">
        <f>'GS Pay Scale'!G17</f>
        <v>80623</v>
      </c>
      <c r="J80" s="127">
        <f>'GS Pay Scale'!H17</f>
        <v>82926</v>
      </c>
      <c r="K80" s="127">
        <f>'GS Pay Scale'!I17</f>
        <v>85229</v>
      </c>
      <c r="L80" s="127">
        <f>'GS Pay Scale'!J17</f>
        <v>87532</v>
      </c>
      <c r="M80" s="127">
        <f>'GS Pay Scale'!K17</f>
        <v>89835</v>
      </c>
    </row>
    <row r="81" spans="1:13" x14ac:dyDescent="0.25">
      <c r="A81" s="96"/>
      <c r="B81" s="96">
        <v>106</v>
      </c>
      <c r="C81" s="105" t="s">
        <v>38</v>
      </c>
      <c r="D81" s="100">
        <f t="shared" ref="D81:M81" si="112">D82*106</f>
        <v>2658.48</v>
      </c>
      <c r="E81" s="100">
        <f t="shared" si="112"/>
        <v>2746.46</v>
      </c>
      <c r="F81" s="100">
        <f t="shared" si="112"/>
        <v>2835.5</v>
      </c>
      <c r="G81" s="100">
        <f t="shared" si="112"/>
        <v>2923.48</v>
      </c>
      <c r="H81" s="100">
        <f t="shared" si="112"/>
        <v>3012.52</v>
      </c>
      <c r="I81" s="100">
        <f t="shared" si="112"/>
        <v>3100.5</v>
      </c>
      <c r="J81" s="100">
        <f t="shared" si="112"/>
        <v>3189.54</v>
      </c>
      <c r="K81" s="100">
        <f t="shared" si="112"/>
        <v>3277.52</v>
      </c>
      <c r="L81" s="100">
        <f t="shared" si="112"/>
        <v>3366.56</v>
      </c>
      <c r="M81" s="100">
        <f t="shared" si="112"/>
        <v>3455.6000000000004</v>
      </c>
    </row>
    <row r="82" spans="1:13" x14ac:dyDescent="0.25">
      <c r="A82" s="96"/>
      <c r="B82" s="96"/>
      <c r="C82" s="105" t="s">
        <v>13</v>
      </c>
      <c r="D82" s="100">
        <f t="shared" ref="D82:M82" si="113">ROUND(D80/2756,2)</f>
        <v>25.08</v>
      </c>
      <c r="E82" s="100">
        <f t="shared" si="113"/>
        <v>25.91</v>
      </c>
      <c r="F82" s="100">
        <f t="shared" si="113"/>
        <v>26.75</v>
      </c>
      <c r="G82" s="100">
        <f t="shared" si="113"/>
        <v>27.58</v>
      </c>
      <c r="H82" s="100">
        <f t="shared" si="113"/>
        <v>28.42</v>
      </c>
      <c r="I82" s="100">
        <f t="shared" si="113"/>
        <v>29.25</v>
      </c>
      <c r="J82" s="100">
        <f t="shared" si="113"/>
        <v>30.09</v>
      </c>
      <c r="K82" s="100">
        <f t="shared" si="113"/>
        <v>30.92</v>
      </c>
      <c r="L82" s="100">
        <f t="shared" si="113"/>
        <v>31.76</v>
      </c>
      <c r="M82" s="100">
        <f t="shared" si="113"/>
        <v>32.6</v>
      </c>
    </row>
    <row r="83" spans="1:13" x14ac:dyDescent="0.25">
      <c r="A83" s="99"/>
      <c r="B83" s="104">
        <f>($G$3-53)*2</f>
        <v>38</v>
      </c>
      <c r="C83" s="105" t="s">
        <v>39</v>
      </c>
      <c r="D83" s="100">
        <f t="shared" ref="D83:M83" si="114">D84*$B$10</f>
        <v>1429.56</v>
      </c>
      <c r="E83" s="100">
        <f t="shared" si="114"/>
        <v>1477.06</v>
      </c>
      <c r="F83" s="100">
        <f t="shared" si="114"/>
        <v>1524.94</v>
      </c>
      <c r="G83" s="100">
        <f t="shared" si="114"/>
        <v>1572.06</v>
      </c>
      <c r="H83" s="100">
        <f t="shared" si="114"/>
        <v>1619.94</v>
      </c>
      <c r="I83" s="100">
        <f t="shared" si="114"/>
        <v>1667.44</v>
      </c>
      <c r="J83" s="100">
        <f t="shared" si="114"/>
        <v>1715.32</v>
      </c>
      <c r="K83" s="100">
        <f t="shared" si="114"/>
        <v>1717.98</v>
      </c>
      <c r="L83" s="100">
        <f t="shared" si="114"/>
        <v>1717.98</v>
      </c>
      <c r="M83" s="100">
        <f t="shared" si="114"/>
        <v>1717.98</v>
      </c>
    </row>
    <row r="84" spans="1:13" x14ac:dyDescent="0.25">
      <c r="A84" s="96" t="s">
        <v>16</v>
      </c>
      <c r="B84" s="96"/>
      <c r="C84" s="105" t="s">
        <v>14</v>
      </c>
      <c r="D84" s="100">
        <f t="shared" ref="D84:M84" si="115">IF(ROUND(D82*1.5,2)&lt;$G$122,ROUND(D82*1.5,2),IF($G$122&lt;D82,D82,$G$122))</f>
        <v>37.619999999999997</v>
      </c>
      <c r="E84" s="100">
        <f t="shared" si="115"/>
        <v>38.869999999999997</v>
      </c>
      <c r="F84" s="100">
        <f t="shared" si="115"/>
        <v>40.130000000000003</v>
      </c>
      <c r="G84" s="100">
        <f t="shared" si="115"/>
        <v>41.37</v>
      </c>
      <c r="H84" s="100">
        <f t="shared" si="115"/>
        <v>42.63</v>
      </c>
      <c r="I84" s="100">
        <f t="shared" si="115"/>
        <v>43.88</v>
      </c>
      <c r="J84" s="100">
        <f t="shared" si="115"/>
        <v>45.14</v>
      </c>
      <c r="K84" s="100">
        <f t="shared" si="115"/>
        <v>45.21</v>
      </c>
      <c r="L84" s="100">
        <f t="shared" si="115"/>
        <v>45.21</v>
      </c>
      <c r="M84" s="100">
        <f t="shared" si="115"/>
        <v>45.21</v>
      </c>
    </row>
    <row r="85" spans="1:13" s="82" customFormat="1" x14ac:dyDescent="0.25">
      <c r="A85" s="106"/>
      <c r="B85" s="106"/>
      <c r="C85" s="101" t="s">
        <v>43</v>
      </c>
      <c r="D85" s="100">
        <f>ROUND(D82*'Start Page'!$G$32,2)*$B$13</f>
        <v>0</v>
      </c>
      <c r="E85" s="100">
        <f>ROUND(E82*'Start Page'!$G$32,2)*$B$13</f>
        <v>0</v>
      </c>
      <c r="F85" s="100">
        <f>ROUND(F82*'Start Page'!$G$32,2)*$B$13</f>
        <v>0</v>
      </c>
      <c r="G85" s="100">
        <f>ROUND(G82*'Start Page'!$G$32,2)*$B$13</f>
        <v>0</v>
      </c>
      <c r="H85" s="100">
        <f>ROUND(H82*'Start Page'!$G$32,2)*$B$13</f>
        <v>0</v>
      </c>
      <c r="I85" s="100">
        <f>ROUND(I82*'Start Page'!$G$32,2)*$B$13</f>
        <v>0</v>
      </c>
      <c r="J85" s="100">
        <f>ROUND(J82*'Start Page'!$G$32,2)*$B$13</f>
        <v>0</v>
      </c>
      <c r="K85" s="100">
        <f>ROUND(K82*'Start Page'!$G$32,2)*$B$13</f>
        <v>0</v>
      </c>
      <c r="L85" s="100">
        <f>ROUND(L82*'Start Page'!$G$32,2)*$B$13</f>
        <v>0</v>
      </c>
      <c r="M85" s="100">
        <f>ROUND(M82*'Start Page'!$G$32,2)*$B$13</f>
        <v>0</v>
      </c>
    </row>
    <row r="86" spans="1:13" x14ac:dyDescent="0.25">
      <c r="A86" s="96"/>
      <c r="B86" s="96">
        <f>B81+B83</f>
        <v>144</v>
      </c>
      <c r="C86" s="113" t="s">
        <v>17</v>
      </c>
      <c r="D86" s="109">
        <f t="shared" ref="D86:M86" si="116">D81+D83+D85</f>
        <v>4088.04</v>
      </c>
      <c r="E86" s="109">
        <f t="shared" si="116"/>
        <v>4223.5200000000004</v>
      </c>
      <c r="F86" s="109">
        <f t="shared" si="116"/>
        <v>4360.4400000000005</v>
      </c>
      <c r="G86" s="109">
        <f t="shared" si="116"/>
        <v>4495.54</v>
      </c>
      <c r="H86" s="109">
        <f t="shared" si="116"/>
        <v>4632.46</v>
      </c>
      <c r="I86" s="109">
        <f t="shared" si="116"/>
        <v>4767.9400000000005</v>
      </c>
      <c r="J86" s="109">
        <f t="shared" si="116"/>
        <v>4904.8599999999997</v>
      </c>
      <c r="K86" s="109">
        <f t="shared" si="116"/>
        <v>4995.5</v>
      </c>
      <c r="L86" s="109">
        <f t="shared" si="116"/>
        <v>5084.54</v>
      </c>
      <c r="M86" s="109">
        <f t="shared" si="116"/>
        <v>5173.58</v>
      </c>
    </row>
    <row r="87" spans="1:13" x14ac:dyDescent="0.25">
      <c r="A87" s="96"/>
      <c r="B87" s="96"/>
      <c r="C87" s="113" t="s">
        <v>33</v>
      </c>
      <c r="D87" s="109">
        <f>D86*26</f>
        <v>106289.04</v>
      </c>
      <c r="E87" s="109">
        <f t="shared" ref="E87" si="117">E86*26</f>
        <v>109811.52000000002</v>
      </c>
      <c r="F87" s="109">
        <f t="shared" ref="F87" si="118">F86*26</f>
        <v>113371.44000000002</v>
      </c>
      <c r="G87" s="109">
        <f t="shared" ref="G87" si="119">G86*26</f>
        <v>116884.04</v>
      </c>
      <c r="H87" s="109">
        <f t="shared" ref="H87" si="120">H86*26</f>
        <v>120443.96</v>
      </c>
      <c r="I87" s="109">
        <f t="shared" ref="I87" si="121">I86*26</f>
        <v>123966.44000000002</v>
      </c>
      <c r="J87" s="109">
        <f t="shared" ref="J87" si="122">J86*26</f>
        <v>127526.35999999999</v>
      </c>
      <c r="K87" s="109">
        <f t="shared" ref="K87" si="123">K86*26</f>
        <v>129883</v>
      </c>
      <c r="L87" s="109">
        <f t="shared" ref="L87" si="124">L86*26</f>
        <v>132198.04</v>
      </c>
      <c r="M87" s="109">
        <f t="shared" ref="M87" si="125">M86*26</f>
        <v>134513.07999999999</v>
      </c>
    </row>
    <row r="88" spans="1:13" s="129" customFormat="1" x14ac:dyDescent="0.25">
      <c r="A88" s="110"/>
      <c r="B88" s="110"/>
      <c r="C88" s="111" t="s">
        <v>66</v>
      </c>
      <c r="D88" s="128">
        <f>D82*$B$13*26</f>
        <v>93899.51999999999</v>
      </c>
      <c r="E88" s="128">
        <f t="shared" ref="E88:M88" si="126">E82*$B$13*26</f>
        <v>97007.039999999994</v>
      </c>
      <c r="F88" s="128">
        <f t="shared" si="126"/>
        <v>100152</v>
      </c>
      <c r="G88" s="128">
        <f t="shared" si="126"/>
        <v>103259.51999999999</v>
      </c>
      <c r="H88" s="128">
        <f t="shared" si="126"/>
        <v>106404.48000000001</v>
      </c>
      <c r="I88" s="128">
        <f t="shared" si="126"/>
        <v>109512</v>
      </c>
      <c r="J88" s="128">
        <f t="shared" si="126"/>
        <v>112656.96000000001</v>
      </c>
      <c r="K88" s="128">
        <f t="shared" si="126"/>
        <v>115764.48000000001</v>
      </c>
      <c r="L88" s="128">
        <f t="shared" si="126"/>
        <v>118909.44000000002</v>
      </c>
      <c r="M88" s="112">
        <f t="shared" si="126"/>
        <v>122054.40000000001</v>
      </c>
    </row>
    <row r="89" spans="1:13" x14ac:dyDescent="0.25">
      <c r="A89" s="96"/>
      <c r="B89" s="96"/>
      <c r="C89" s="126" t="s">
        <v>30</v>
      </c>
      <c r="D89" s="127">
        <f>'GS Pay Scale'!B18</f>
        <v>82830</v>
      </c>
      <c r="E89" s="127">
        <f>'GS Pay Scale'!C18</f>
        <v>85591</v>
      </c>
      <c r="F89" s="127">
        <f>'GS Pay Scale'!D18</f>
        <v>88352</v>
      </c>
      <c r="G89" s="127">
        <f>'GS Pay Scale'!E18</f>
        <v>91113</v>
      </c>
      <c r="H89" s="127">
        <f>'GS Pay Scale'!F18</f>
        <v>93875</v>
      </c>
      <c r="I89" s="127">
        <f>'GS Pay Scale'!G18</f>
        <v>96636</v>
      </c>
      <c r="J89" s="127">
        <f>'GS Pay Scale'!H18</f>
        <v>99397</v>
      </c>
      <c r="K89" s="127">
        <f>'GS Pay Scale'!I18</f>
        <v>102158</v>
      </c>
      <c r="L89" s="127">
        <f>'GS Pay Scale'!J18</f>
        <v>104919</v>
      </c>
      <c r="M89" s="127">
        <f>'GS Pay Scale'!K18</f>
        <v>107680</v>
      </c>
    </row>
    <row r="90" spans="1:13" x14ac:dyDescent="0.25">
      <c r="A90" s="96"/>
      <c r="B90" s="96">
        <v>106</v>
      </c>
      <c r="C90" s="105" t="s">
        <v>38</v>
      </c>
      <c r="D90" s="100">
        <f t="shared" ref="D90:M90" si="127">D91*106</f>
        <v>3185.3</v>
      </c>
      <c r="E90" s="100">
        <f t="shared" si="127"/>
        <v>3292.3599999999997</v>
      </c>
      <c r="F90" s="100">
        <f t="shared" si="127"/>
        <v>3398.36</v>
      </c>
      <c r="G90" s="100">
        <f t="shared" si="127"/>
        <v>3504.36</v>
      </c>
      <c r="H90" s="100">
        <f t="shared" si="127"/>
        <v>3610.36</v>
      </c>
      <c r="I90" s="100">
        <f t="shared" si="127"/>
        <v>3716.36</v>
      </c>
      <c r="J90" s="100">
        <f t="shared" si="127"/>
        <v>3823.42</v>
      </c>
      <c r="K90" s="100">
        <f t="shared" si="127"/>
        <v>3929.42</v>
      </c>
      <c r="L90" s="100">
        <f t="shared" si="127"/>
        <v>4035.42</v>
      </c>
      <c r="M90" s="100">
        <f t="shared" si="127"/>
        <v>4141.42</v>
      </c>
    </row>
    <row r="91" spans="1:13" x14ac:dyDescent="0.25">
      <c r="A91" s="96"/>
      <c r="B91" s="96"/>
      <c r="C91" s="105" t="s">
        <v>13</v>
      </c>
      <c r="D91" s="100">
        <f t="shared" ref="D91:M91" si="128">ROUND(D89/2756,2)</f>
        <v>30.05</v>
      </c>
      <c r="E91" s="100">
        <f t="shared" si="128"/>
        <v>31.06</v>
      </c>
      <c r="F91" s="100">
        <f t="shared" si="128"/>
        <v>32.06</v>
      </c>
      <c r="G91" s="100">
        <f t="shared" si="128"/>
        <v>33.06</v>
      </c>
      <c r="H91" s="100">
        <f t="shared" si="128"/>
        <v>34.06</v>
      </c>
      <c r="I91" s="100">
        <f t="shared" si="128"/>
        <v>35.06</v>
      </c>
      <c r="J91" s="100">
        <f t="shared" si="128"/>
        <v>36.07</v>
      </c>
      <c r="K91" s="100">
        <f t="shared" si="128"/>
        <v>37.07</v>
      </c>
      <c r="L91" s="100">
        <f t="shared" si="128"/>
        <v>38.07</v>
      </c>
      <c r="M91" s="100">
        <f t="shared" si="128"/>
        <v>39.07</v>
      </c>
    </row>
    <row r="92" spans="1:13" x14ac:dyDescent="0.25">
      <c r="A92" s="99"/>
      <c r="B92" s="104">
        <f>($G$3-53)*2</f>
        <v>38</v>
      </c>
      <c r="C92" s="105" t="s">
        <v>39</v>
      </c>
      <c r="D92" s="100">
        <f t="shared" ref="D92:M92" si="129">D93*$B$10</f>
        <v>1713.04</v>
      </c>
      <c r="E92" s="100">
        <f t="shared" si="129"/>
        <v>1717.98</v>
      </c>
      <c r="F92" s="100">
        <f t="shared" si="129"/>
        <v>1717.98</v>
      </c>
      <c r="G92" s="100">
        <f t="shared" si="129"/>
        <v>1717.98</v>
      </c>
      <c r="H92" s="100">
        <f t="shared" si="129"/>
        <v>1717.98</v>
      </c>
      <c r="I92" s="100">
        <f t="shared" si="129"/>
        <v>1717.98</v>
      </c>
      <c r="J92" s="100">
        <f t="shared" si="129"/>
        <v>1717.98</v>
      </c>
      <c r="K92" s="100">
        <f t="shared" si="129"/>
        <v>1717.98</v>
      </c>
      <c r="L92" s="100">
        <f t="shared" si="129"/>
        <v>1717.98</v>
      </c>
      <c r="M92" s="100">
        <f t="shared" si="129"/>
        <v>1717.98</v>
      </c>
    </row>
    <row r="93" spans="1:13" x14ac:dyDescent="0.25">
      <c r="A93" s="96" t="s">
        <v>26</v>
      </c>
      <c r="B93" s="96"/>
      <c r="C93" s="105" t="s">
        <v>14</v>
      </c>
      <c r="D93" s="100">
        <f t="shared" ref="D93:M93" si="130">IF(ROUND(D91*1.5,2)&lt;$G$122,ROUND(D91*1.5,2),IF($G$122&lt;D91,D91,$G$122))</f>
        <v>45.08</v>
      </c>
      <c r="E93" s="100">
        <f t="shared" si="130"/>
        <v>45.21</v>
      </c>
      <c r="F93" s="100">
        <f t="shared" si="130"/>
        <v>45.21</v>
      </c>
      <c r="G93" s="100">
        <f t="shared" si="130"/>
        <v>45.21</v>
      </c>
      <c r="H93" s="100">
        <f t="shared" si="130"/>
        <v>45.21</v>
      </c>
      <c r="I93" s="100">
        <f t="shared" si="130"/>
        <v>45.21</v>
      </c>
      <c r="J93" s="100">
        <f t="shared" si="130"/>
        <v>45.21</v>
      </c>
      <c r="K93" s="100">
        <f t="shared" si="130"/>
        <v>45.21</v>
      </c>
      <c r="L93" s="100">
        <f t="shared" si="130"/>
        <v>45.21</v>
      </c>
      <c r="M93" s="100">
        <f t="shared" si="130"/>
        <v>45.21</v>
      </c>
    </row>
    <row r="94" spans="1:13" s="82" customFormat="1" x14ac:dyDescent="0.25">
      <c r="A94" s="106"/>
      <c r="B94" s="106"/>
      <c r="C94" s="101" t="s">
        <v>43</v>
      </c>
      <c r="D94" s="100">
        <f>ROUND(D91*'Start Page'!$G$32,2)*$B$13</f>
        <v>0</v>
      </c>
      <c r="E94" s="100">
        <f>ROUND(E91*'Start Page'!$G$32,2)*$B$13</f>
        <v>0</v>
      </c>
      <c r="F94" s="100">
        <f>ROUND(F91*'Start Page'!$G$32,2)*$B$13</f>
        <v>0</v>
      </c>
      <c r="G94" s="100">
        <f>ROUND(G91*'Start Page'!$G$32,2)*$B$13</f>
        <v>0</v>
      </c>
      <c r="H94" s="100">
        <f>ROUND(H91*'Start Page'!$G$32,2)*$B$13</f>
        <v>0</v>
      </c>
      <c r="I94" s="100">
        <f>ROUND(I91*'Start Page'!$G$32,2)*$B$13</f>
        <v>0</v>
      </c>
      <c r="J94" s="100">
        <f>ROUND(J91*'Start Page'!$G$32,2)*$B$13</f>
        <v>0</v>
      </c>
      <c r="K94" s="100">
        <f>ROUND(K91*'Start Page'!$G$32,2)*$B$13</f>
        <v>0</v>
      </c>
      <c r="L94" s="100">
        <f>ROUND(L91*'Start Page'!$G$32,2)*$B$13</f>
        <v>0</v>
      </c>
      <c r="M94" s="100">
        <f>ROUND(M91*'Start Page'!$G$32,2)*$B$13</f>
        <v>0</v>
      </c>
    </row>
    <row r="95" spans="1:13" x14ac:dyDescent="0.25">
      <c r="A95" s="96"/>
      <c r="B95" s="96">
        <f>B90+B92</f>
        <v>144</v>
      </c>
      <c r="C95" s="113" t="s">
        <v>17</v>
      </c>
      <c r="D95" s="109">
        <f t="shared" ref="D95:M95" si="131">D90+D92+D94</f>
        <v>4898.34</v>
      </c>
      <c r="E95" s="109">
        <f t="shared" si="131"/>
        <v>5010.34</v>
      </c>
      <c r="F95" s="109">
        <f t="shared" si="131"/>
        <v>5116.34</v>
      </c>
      <c r="G95" s="109">
        <f t="shared" si="131"/>
        <v>5222.34</v>
      </c>
      <c r="H95" s="109">
        <f t="shared" si="131"/>
        <v>5328.34</v>
      </c>
      <c r="I95" s="109">
        <f t="shared" si="131"/>
        <v>5434.34</v>
      </c>
      <c r="J95" s="109">
        <f t="shared" si="131"/>
        <v>5541.4</v>
      </c>
      <c r="K95" s="109">
        <f t="shared" si="131"/>
        <v>5647.4</v>
      </c>
      <c r="L95" s="109">
        <f t="shared" si="131"/>
        <v>5753.4</v>
      </c>
      <c r="M95" s="109">
        <f t="shared" si="131"/>
        <v>5859.4</v>
      </c>
    </row>
    <row r="96" spans="1:13" x14ac:dyDescent="0.25">
      <c r="A96" s="96"/>
      <c r="B96" s="96"/>
      <c r="C96" s="113" t="s">
        <v>33</v>
      </c>
      <c r="D96" s="109">
        <f>D95*26</f>
        <v>127356.84</v>
      </c>
      <c r="E96" s="109">
        <f t="shared" ref="E96" si="132">E95*26</f>
        <v>130268.84</v>
      </c>
      <c r="F96" s="109">
        <f t="shared" ref="F96" si="133">F95*26</f>
        <v>133024.84</v>
      </c>
      <c r="G96" s="109">
        <f t="shared" ref="G96" si="134">G95*26</f>
        <v>135780.84</v>
      </c>
      <c r="H96" s="109">
        <f t="shared" ref="H96" si="135">H95*26</f>
        <v>138536.84</v>
      </c>
      <c r="I96" s="109">
        <f t="shared" ref="I96" si="136">I95*26</f>
        <v>141292.84</v>
      </c>
      <c r="J96" s="109">
        <f t="shared" ref="J96" si="137">J95*26</f>
        <v>144076.4</v>
      </c>
      <c r="K96" s="109">
        <f t="shared" ref="K96" si="138">K95*26</f>
        <v>146832.4</v>
      </c>
      <c r="L96" s="109">
        <f t="shared" ref="L96" si="139">L95*26</f>
        <v>149588.4</v>
      </c>
      <c r="M96" s="109">
        <f t="shared" ref="M96" si="140">M95*26</f>
        <v>152344.4</v>
      </c>
    </row>
    <row r="97" spans="1:13" s="129" customFormat="1" x14ac:dyDescent="0.25">
      <c r="A97" s="110"/>
      <c r="B97" s="110"/>
      <c r="C97" s="111" t="s">
        <v>66</v>
      </c>
      <c r="D97" s="128">
        <f>D91*$B$13*26</f>
        <v>112507.2</v>
      </c>
      <c r="E97" s="128">
        <f t="shared" ref="E97:M97" si="141">E91*$B$13*26</f>
        <v>116288.63999999998</v>
      </c>
      <c r="F97" s="128">
        <f t="shared" si="141"/>
        <v>120032.64000000001</v>
      </c>
      <c r="G97" s="128">
        <f t="shared" si="141"/>
        <v>123776.64000000001</v>
      </c>
      <c r="H97" s="128">
        <f t="shared" si="141"/>
        <v>127520.64000000001</v>
      </c>
      <c r="I97" s="128">
        <f t="shared" si="141"/>
        <v>131264.64000000001</v>
      </c>
      <c r="J97" s="128">
        <f t="shared" si="141"/>
        <v>135046.07999999999</v>
      </c>
      <c r="K97" s="128">
        <f t="shared" si="141"/>
        <v>138790.07999999999</v>
      </c>
      <c r="L97" s="128">
        <f t="shared" si="141"/>
        <v>142534.07999999999</v>
      </c>
      <c r="M97" s="112">
        <f t="shared" si="141"/>
        <v>146278.07999999999</v>
      </c>
    </row>
    <row r="98" spans="1:13" s="129" customFormat="1" x14ac:dyDescent="0.25">
      <c r="A98" s="96"/>
      <c r="B98" s="96"/>
      <c r="C98" s="126" t="s">
        <v>30</v>
      </c>
      <c r="D98" s="127">
        <f>'GS Pay Scale'!B19</f>
        <v>98496</v>
      </c>
      <c r="E98" s="127">
        <f>'GS Pay Scale'!C19</f>
        <v>101779</v>
      </c>
      <c r="F98" s="127">
        <f>'GS Pay Scale'!D19</f>
        <v>105062</v>
      </c>
      <c r="G98" s="127">
        <f>'GS Pay Scale'!E19</f>
        <v>108345</v>
      </c>
      <c r="H98" s="127">
        <f>'GS Pay Scale'!F19</f>
        <v>111628</v>
      </c>
      <c r="I98" s="127">
        <f>'GS Pay Scale'!G19</f>
        <v>114911</v>
      </c>
      <c r="J98" s="127">
        <f>'GS Pay Scale'!H19</f>
        <v>118194</v>
      </c>
      <c r="K98" s="127">
        <f>'GS Pay Scale'!I19</f>
        <v>121477</v>
      </c>
      <c r="L98" s="127">
        <f>'GS Pay Scale'!J19</f>
        <v>124760</v>
      </c>
      <c r="M98" s="127">
        <f>'GS Pay Scale'!K19</f>
        <v>128043</v>
      </c>
    </row>
    <row r="99" spans="1:13" s="129" customFormat="1" x14ac:dyDescent="0.25">
      <c r="A99" s="96"/>
      <c r="B99" s="96">
        <v>106</v>
      </c>
      <c r="C99" s="105" t="s">
        <v>38</v>
      </c>
      <c r="D99" s="100">
        <f t="shared" ref="D99:M99" si="142">D100*106</f>
        <v>3788.44</v>
      </c>
      <c r="E99" s="100">
        <f t="shared" si="142"/>
        <v>3914.58</v>
      </c>
      <c r="F99" s="100">
        <f t="shared" si="142"/>
        <v>4040.72</v>
      </c>
      <c r="G99" s="100">
        <f t="shared" si="142"/>
        <v>4166.8600000000006</v>
      </c>
      <c r="H99" s="100">
        <f t="shared" si="142"/>
        <v>4293</v>
      </c>
      <c r="I99" s="100">
        <f t="shared" si="142"/>
        <v>4419.1399999999994</v>
      </c>
      <c r="J99" s="100">
        <f t="shared" si="142"/>
        <v>4546.34</v>
      </c>
      <c r="K99" s="100">
        <f t="shared" si="142"/>
        <v>4672.4799999999996</v>
      </c>
      <c r="L99" s="100">
        <f t="shared" si="142"/>
        <v>4798.62</v>
      </c>
      <c r="M99" s="100">
        <f t="shared" si="142"/>
        <v>4924.76</v>
      </c>
    </row>
    <row r="100" spans="1:13" s="129" customFormat="1" x14ac:dyDescent="0.25">
      <c r="A100" s="96"/>
      <c r="B100" s="96"/>
      <c r="C100" s="105" t="s">
        <v>13</v>
      </c>
      <c r="D100" s="100">
        <f t="shared" ref="D100:M100" si="143">ROUND(D98/2756,2)</f>
        <v>35.74</v>
      </c>
      <c r="E100" s="100">
        <f t="shared" si="143"/>
        <v>36.93</v>
      </c>
      <c r="F100" s="100">
        <f t="shared" si="143"/>
        <v>38.119999999999997</v>
      </c>
      <c r="G100" s="100">
        <f t="shared" si="143"/>
        <v>39.31</v>
      </c>
      <c r="H100" s="100">
        <f t="shared" si="143"/>
        <v>40.5</v>
      </c>
      <c r="I100" s="100">
        <f t="shared" si="143"/>
        <v>41.69</v>
      </c>
      <c r="J100" s="100">
        <f t="shared" si="143"/>
        <v>42.89</v>
      </c>
      <c r="K100" s="100">
        <f t="shared" si="143"/>
        <v>44.08</v>
      </c>
      <c r="L100" s="100">
        <f t="shared" si="143"/>
        <v>45.27</v>
      </c>
      <c r="M100" s="100">
        <f t="shared" si="143"/>
        <v>46.46</v>
      </c>
    </row>
    <row r="101" spans="1:13" s="129" customFormat="1" x14ac:dyDescent="0.25">
      <c r="A101" s="99"/>
      <c r="B101" s="104">
        <f>($G$3-53)*2</f>
        <v>38</v>
      </c>
      <c r="C101" s="105" t="s">
        <v>39</v>
      </c>
      <c r="D101" s="100">
        <f t="shared" ref="D101:M101" si="144">D102*$B$10</f>
        <v>1717.98</v>
      </c>
      <c r="E101" s="100">
        <f t="shared" si="144"/>
        <v>1717.98</v>
      </c>
      <c r="F101" s="100">
        <f t="shared" si="144"/>
        <v>1717.98</v>
      </c>
      <c r="G101" s="100">
        <f t="shared" si="144"/>
        <v>1717.98</v>
      </c>
      <c r="H101" s="100">
        <f t="shared" si="144"/>
        <v>1717.98</v>
      </c>
      <c r="I101" s="100">
        <f t="shared" si="144"/>
        <v>1717.98</v>
      </c>
      <c r="J101" s="100">
        <f t="shared" si="144"/>
        <v>1717.98</v>
      </c>
      <c r="K101" s="100">
        <f t="shared" si="144"/>
        <v>1717.98</v>
      </c>
      <c r="L101" s="100">
        <f t="shared" si="144"/>
        <v>1720.2600000000002</v>
      </c>
      <c r="M101" s="100">
        <f t="shared" si="144"/>
        <v>1765.48</v>
      </c>
    </row>
    <row r="102" spans="1:13" s="129" customFormat="1" x14ac:dyDescent="0.25">
      <c r="A102" s="96" t="s">
        <v>31</v>
      </c>
      <c r="B102" s="96"/>
      <c r="C102" s="105" t="s">
        <v>14</v>
      </c>
      <c r="D102" s="100">
        <f t="shared" ref="D102:M102" si="145">IF(ROUND(D100*1.5,2)&lt;$G$122,ROUND(D100*1.5,2),IF($G$122&lt;D100,D100,$G$122))</f>
        <v>45.21</v>
      </c>
      <c r="E102" s="100">
        <f t="shared" si="145"/>
        <v>45.21</v>
      </c>
      <c r="F102" s="100">
        <f t="shared" si="145"/>
        <v>45.21</v>
      </c>
      <c r="G102" s="100">
        <f t="shared" si="145"/>
        <v>45.21</v>
      </c>
      <c r="H102" s="100">
        <f t="shared" si="145"/>
        <v>45.21</v>
      </c>
      <c r="I102" s="100">
        <f t="shared" si="145"/>
        <v>45.21</v>
      </c>
      <c r="J102" s="100">
        <f t="shared" si="145"/>
        <v>45.21</v>
      </c>
      <c r="K102" s="100">
        <f t="shared" si="145"/>
        <v>45.21</v>
      </c>
      <c r="L102" s="100">
        <f t="shared" si="145"/>
        <v>45.27</v>
      </c>
      <c r="M102" s="100">
        <f t="shared" si="145"/>
        <v>46.46</v>
      </c>
    </row>
    <row r="103" spans="1:13" s="129" customFormat="1" x14ac:dyDescent="0.25">
      <c r="A103" s="106"/>
      <c r="B103" s="106"/>
      <c r="C103" s="101" t="s">
        <v>43</v>
      </c>
      <c r="D103" s="100">
        <f>ROUND(D100*'Start Page'!$G$32,2)*$B$13</f>
        <v>0</v>
      </c>
      <c r="E103" s="100">
        <f>ROUND(E100*'Start Page'!$G$32,2)*$B$13</f>
        <v>0</v>
      </c>
      <c r="F103" s="100">
        <f>ROUND(F100*'Start Page'!$G$32,2)*$B$13</f>
        <v>0</v>
      </c>
      <c r="G103" s="100">
        <f>ROUND(G100*'Start Page'!$G$32,2)*$B$13</f>
        <v>0</v>
      </c>
      <c r="H103" s="100">
        <f>ROUND(H100*'Start Page'!$G$32,2)*$B$13</f>
        <v>0</v>
      </c>
      <c r="I103" s="100">
        <f>ROUND(I100*'Start Page'!$G$32,2)*$B$13</f>
        <v>0</v>
      </c>
      <c r="J103" s="100">
        <f>ROUND(J100*'Start Page'!$G$32,2)*$B$13</f>
        <v>0</v>
      </c>
      <c r="K103" s="100">
        <f>ROUND(K100*'Start Page'!$G$32,2)*$B$13</f>
        <v>0</v>
      </c>
      <c r="L103" s="100">
        <f>ROUND(L100*'Start Page'!$G$32,2)*$B$13</f>
        <v>0</v>
      </c>
      <c r="M103" s="100">
        <f>ROUND(M100*'Start Page'!$G$32,2)*$B$13</f>
        <v>0</v>
      </c>
    </row>
    <row r="104" spans="1:13" s="129" customFormat="1" x14ac:dyDescent="0.25">
      <c r="A104" s="96"/>
      <c r="B104" s="96">
        <f>B99+B101</f>
        <v>144</v>
      </c>
      <c r="C104" s="113" t="s">
        <v>17</v>
      </c>
      <c r="D104" s="109">
        <f t="shared" ref="D104:M104" si="146">D99+D101+D103</f>
        <v>5506.42</v>
      </c>
      <c r="E104" s="109">
        <f t="shared" si="146"/>
        <v>5632.5599999999995</v>
      </c>
      <c r="F104" s="109">
        <f t="shared" si="146"/>
        <v>5758.7</v>
      </c>
      <c r="G104" s="109">
        <f t="shared" si="146"/>
        <v>5884.84</v>
      </c>
      <c r="H104" s="109">
        <f t="shared" si="146"/>
        <v>6010.98</v>
      </c>
      <c r="I104" s="109">
        <f t="shared" si="146"/>
        <v>6137.119999999999</v>
      </c>
      <c r="J104" s="109">
        <f t="shared" si="146"/>
        <v>6264.32</v>
      </c>
      <c r="K104" s="109">
        <f t="shared" si="146"/>
        <v>6390.4599999999991</v>
      </c>
      <c r="L104" s="109">
        <f t="shared" si="146"/>
        <v>6518.88</v>
      </c>
      <c r="M104" s="109">
        <f t="shared" si="146"/>
        <v>6690.24</v>
      </c>
    </row>
    <row r="105" spans="1:13" s="129" customFormat="1" x14ac:dyDescent="0.25">
      <c r="A105" s="96"/>
      <c r="B105" s="96"/>
      <c r="C105" s="113" t="s">
        <v>33</v>
      </c>
      <c r="D105" s="109">
        <f>D104*26</f>
        <v>143166.92000000001</v>
      </c>
      <c r="E105" s="109">
        <f t="shared" ref="E105" si="147">E104*26</f>
        <v>146446.56</v>
      </c>
      <c r="F105" s="109">
        <f t="shared" ref="F105" si="148">F104*26</f>
        <v>149726.19999999998</v>
      </c>
      <c r="G105" s="109">
        <f t="shared" ref="G105" si="149">G104*26</f>
        <v>153005.84</v>
      </c>
      <c r="H105" s="109">
        <f t="shared" ref="H105" si="150">H104*26</f>
        <v>156285.47999999998</v>
      </c>
      <c r="I105" s="109">
        <f t="shared" ref="I105" si="151">I104*26</f>
        <v>159565.11999999997</v>
      </c>
      <c r="J105" s="109">
        <f t="shared" ref="J105" si="152">J104*26</f>
        <v>162872.32000000001</v>
      </c>
      <c r="K105" s="109">
        <f t="shared" ref="K105" si="153">K104*26</f>
        <v>166151.95999999996</v>
      </c>
      <c r="L105" s="109">
        <f t="shared" ref="L105" si="154">L104*26</f>
        <v>169490.88</v>
      </c>
      <c r="M105" s="109">
        <f t="shared" ref="M105" si="155">M104*26</f>
        <v>173946.23999999999</v>
      </c>
    </row>
    <row r="106" spans="1:13" s="129" customFormat="1" x14ac:dyDescent="0.25">
      <c r="A106" s="110"/>
      <c r="B106" s="110"/>
      <c r="C106" s="111" t="s">
        <v>66</v>
      </c>
      <c r="D106" s="128">
        <f>D100*$B$13*26</f>
        <v>133810.56</v>
      </c>
      <c r="E106" s="128">
        <f t="shared" ref="E106:M106" si="156">E100*$B$13*26</f>
        <v>138265.92000000001</v>
      </c>
      <c r="F106" s="128">
        <f t="shared" si="156"/>
        <v>142721.28</v>
      </c>
      <c r="G106" s="128">
        <f t="shared" si="156"/>
        <v>147176.64000000001</v>
      </c>
      <c r="H106" s="128">
        <f t="shared" si="156"/>
        <v>151632</v>
      </c>
      <c r="I106" s="128">
        <f t="shared" si="156"/>
        <v>156087.35999999999</v>
      </c>
      <c r="J106" s="128">
        <f t="shared" si="156"/>
        <v>160580.16</v>
      </c>
      <c r="K106" s="128">
        <f t="shared" si="156"/>
        <v>165035.51999999999</v>
      </c>
      <c r="L106" s="128">
        <f t="shared" si="156"/>
        <v>169490.88</v>
      </c>
      <c r="M106" s="112">
        <f t="shared" si="156"/>
        <v>173946.23999999999</v>
      </c>
    </row>
    <row r="107" spans="1:13" x14ac:dyDescent="0.25">
      <c r="A107" s="96"/>
      <c r="B107" s="96"/>
      <c r="C107" s="126" t="s">
        <v>30</v>
      </c>
      <c r="D107" s="127">
        <f>'GS Pay Scale'!B20</f>
        <v>116393</v>
      </c>
      <c r="E107" s="127">
        <f>'GS Pay Scale'!C20</f>
        <v>120272</v>
      </c>
      <c r="F107" s="127">
        <f>'GS Pay Scale'!D20</f>
        <v>124152</v>
      </c>
      <c r="G107" s="127">
        <f>'GS Pay Scale'!E20</f>
        <v>128031</v>
      </c>
      <c r="H107" s="127">
        <f>'GS Pay Scale'!F20</f>
        <v>131911</v>
      </c>
      <c r="I107" s="127">
        <f>'GS Pay Scale'!G20</f>
        <v>135790</v>
      </c>
      <c r="J107" s="127">
        <f>'GS Pay Scale'!H20</f>
        <v>139670</v>
      </c>
      <c r="K107" s="127">
        <f>'GS Pay Scale'!I20</f>
        <v>143549</v>
      </c>
      <c r="L107" s="127">
        <f>'GS Pay Scale'!J20</f>
        <v>147428</v>
      </c>
      <c r="M107" s="127">
        <f>'GS Pay Scale'!K20</f>
        <v>151308</v>
      </c>
    </row>
    <row r="108" spans="1:13" x14ac:dyDescent="0.25">
      <c r="A108" s="96"/>
      <c r="B108" s="96">
        <v>106</v>
      </c>
      <c r="C108" s="105" t="s">
        <v>38</v>
      </c>
      <c r="D108" s="100">
        <f t="shared" ref="D108:M108" si="157">D109*106</f>
        <v>4476.38</v>
      </c>
      <c r="E108" s="100">
        <f t="shared" si="157"/>
        <v>4625.84</v>
      </c>
      <c r="F108" s="100">
        <f t="shared" si="157"/>
        <v>4775.2999999999993</v>
      </c>
      <c r="G108" s="100">
        <f t="shared" si="157"/>
        <v>4924.76</v>
      </c>
      <c r="H108" s="100">
        <f t="shared" si="157"/>
        <v>5073.16</v>
      </c>
      <c r="I108" s="100">
        <f t="shared" si="157"/>
        <v>5222.62</v>
      </c>
      <c r="J108" s="100">
        <f t="shared" si="157"/>
        <v>5372.08</v>
      </c>
      <c r="K108" s="100">
        <f t="shared" si="157"/>
        <v>5521.54</v>
      </c>
      <c r="L108" s="100">
        <f t="shared" si="157"/>
        <v>5669.9400000000005</v>
      </c>
      <c r="M108" s="100">
        <f t="shared" si="157"/>
        <v>5819.4</v>
      </c>
    </row>
    <row r="109" spans="1:13" x14ac:dyDescent="0.25">
      <c r="A109" s="96"/>
      <c r="B109" s="96"/>
      <c r="C109" s="105" t="s">
        <v>13</v>
      </c>
      <c r="D109" s="100">
        <f t="shared" ref="D109:M109" si="158">ROUND(D107/2756,2)</f>
        <v>42.23</v>
      </c>
      <c r="E109" s="100">
        <f t="shared" si="158"/>
        <v>43.64</v>
      </c>
      <c r="F109" s="100">
        <f t="shared" si="158"/>
        <v>45.05</v>
      </c>
      <c r="G109" s="100">
        <f t="shared" si="158"/>
        <v>46.46</v>
      </c>
      <c r="H109" s="100">
        <f t="shared" si="158"/>
        <v>47.86</v>
      </c>
      <c r="I109" s="100">
        <f t="shared" si="158"/>
        <v>49.27</v>
      </c>
      <c r="J109" s="100">
        <f t="shared" si="158"/>
        <v>50.68</v>
      </c>
      <c r="K109" s="100">
        <f t="shared" si="158"/>
        <v>52.09</v>
      </c>
      <c r="L109" s="100">
        <f t="shared" si="158"/>
        <v>53.49</v>
      </c>
      <c r="M109" s="100">
        <f t="shared" si="158"/>
        <v>54.9</v>
      </c>
    </row>
    <row r="110" spans="1:13" x14ac:dyDescent="0.25">
      <c r="A110" s="99"/>
      <c r="B110" s="104">
        <f>($G$3-53)*2</f>
        <v>38</v>
      </c>
      <c r="C110" s="105" t="s">
        <v>39</v>
      </c>
      <c r="D110" s="100">
        <f t="shared" ref="D110:M110" si="159">D111*$B$10</f>
        <v>1717.98</v>
      </c>
      <c r="E110" s="100">
        <f t="shared" si="159"/>
        <v>1717.98</v>
      </c>
      <c r="F110" s="100">
        <f t="shared" si="159"/>
        <v>1717.98</v>
      </c>
      <c r="G110" s="100">
        <f t="shared" si="159"/>
        <v>1765.48</v>
      </c>
      <c r="H110" s="100">
        <f t="shared" si="159"/>
        <v>1818.68</v>
      </c>
      <c r="I110" s="100">
        <f t="shared" si="159"/>
        <v>1872.2600000000002</v>
      </c>
      <c r="J110" s="100">
        <f t="shared" si="159"/>
        <v>1925.84</v>
      </c>
      <c r="K110" s="100">
        <f t="shared" si="159"/>
        <v>1979.42</v>
      </c>
      <c r="L110" s="100">
        <f t="shared" si="159"/>
        <v>2032.6200000000001</v>
      </c>
      <c r="M110" s="100">
        <f t="shared" si="159"/>
        <v>2086.1999999999998</v>
      </c>
    </row>
    <row r="111" spans="1:13" x14ac:dyDescent="0.25">
      <c r="A111" s="96" t="s">
        <v>101</v>
      </c>
      <c r="B111" s="96"/>
      <c r="C111" s="105" t="s">
        <v>14</v>
      </c>
      <c r="D111" s="100">
        <f t="shared" ref="D111:M111" si="160">IF(ROUND(D109*1.5,2)&lt;$G$122,ROUND(D109*1.5,2),IF($G$122&lt;D109,D109,$G$122))</f>
        <v>45.21</v>
      </c>
      <c r="E111" s="100">
        <f t="shared" si="160"/>
        <v>45.21</v>
      </c>
      <c r="F111" s="100">
        <f t="shared" si="160"/>
        <v>45.21</v>
      </c>
      <c r="G111" s="100">
        <f t="shared" si="160"/>
        <v>46.46</v>
      </c>
      <c r="H111" s="100">
        <f t="shared" si="160"/>
        <v>47.86</v>
      </c>
      <c r="I111" s="100">
        <f t="shared" si="160"/>
        <v>49.27</v>
      </c>
      <c r="J111" s="100">
        <f t="shared" si="160"/>
        <v>50.68</v>
      </c>
      <c r="K111" s="100">
        <f t="shared" si="160"/>
        <v>52.09</v>
      </c>
      <c r="L111" s="100">
        <f t="shared" si="160"/>
        <v>53.49</v>
      </c>
      <c r="M111" s="100">
        <f t="shared" si="160"/>
        <v>54.9</v>
      </c>
    </row>
    <row r="112" spans="1:13" s="82" customFormat="1" x14ac:dyDescent="0.25">
      <c r="A112" s="106"/>
      <c r="B112" s="106"/>
      <c r="C112" s="101" t="s">
        <v>43</v>
      </c>
      <c r="D112" s="100">
        <f>ROUND(D109*'Start Page'!$G$32,2)*$B$13</f>
        <v>0</v>
      </c>
      <c r="E112" s="100">
        <f>ROUND(E109*'Start Page'!$G$32,2)*$B$13</f>
        <v>0</v>
      </c>
      <c r="F112" s="100">
        <f>ROUND(F109*'Start Page'!$G$32,2)*$B$13</f>
        <v>0</v>
      </c>
      <c r="G112" s="100">
        <f>ROUND(G109*'Start Page'!$G$32,2)*$B$13</f>
        <v>0</v>
      </c>
      <c r="H112" s="100">
        <f>ROUND(H109*'Start Page'!$G$32,2)*$B$13</f>
        <v>0</v>
      </c>
      <c r="I112" s="100">
        <f>ROUND(I109*'Start Page'!$G$32,2)*$B$13</f>
        <v>0</v>
      </c>
      <c r="J112" s="100">
        <f>ROUND(J109*'Start Page'!$G$32,2)*$B$13</f>
        <v>0</v>
      </c>
      <c r="K112" s="100">
        <f>ROUND(K109*'Start Page'!$G$32,2)*$B$13</f>
        <v>0</v>
      </c>
      <c r="L112" s="100">
        <f>ROUND(L109*'Start Page'!$G$32,2)*$B$13</f>
        <v>0</v>
      </c>
      <c r="M112" s="100">
        <f>ROUND(M109*'Start Page'!$G$32,2)*$B$13</f>
        <v>0</v>
      </c>
    </row>
    <row r="113" spans="1:13" x14ac:dyDescent="0.25">
      <c r="A113" s="96"/>
      <c r="B113" s="96">
        <f>B108+B110</f>
        <v>144</v>
      </c>
      <c r="C113" s="113" t="s">
        <v>17</v>
      </c>
      <c r="D113" s="109">
        <f t="shared" ref="D113:M113" si="161">D108+D110+D112</f>
        <v>6194.3600000000006</v>
      </c>
      <c r="E113" s="109">
        <f t="shared" si="161"/>
        <v>6343.82</v>
      </c>
      <c r="F113" s="109">
        <f t="shared" si="161"/>
        <v>6493.2799999999988</v>
      </c>
      <c r="G113" s="109">
        <f t="shared" si="161"/>
        <v>6690.24</v>
      </c>
      <c r="H113" s="109">
        <f t="shared" si="161"/>
        <v>6891.84</v>
      </c>
      <c r="I113" s="109">
        <f t="shared" si="161"/>
        <v>7094.88</v>
      </c>
      <c r="J113" s="109">
        <f t="shared" si="161"/>
        <v>7297.92</v>
      </c>
      <c r="K113" s="109">
        <f t="shared" si="161"/>
        <v>7500.96</v>
      </c>
      <c r="L113" s="109">
        <f t="shared" si="161"/>
        <v>7702.56</v>
      </c>
      <c r="M113" s="109">
        <f t="shared" si="161"/>
        <v>7905.5999999999995</v>
      </c>
    </row>
    <row r="114" spans="1:13" x14ac:dyDescent="0.25">
      <c r="A114" s="96"/>
      <c r="B114" s="96"/>
      <c r="C114" s="113" t="s">
        <v>33</v>
      </c>
      <c r="D114" s="109">
        <f>D113*26</f>
        <v>161053.36000000002</v>
      </c>
      <c r="E114" s="109">
        <f t="shared" ref="E114" si="162">E113*26</f>
        <v>164939.32</v>
      </c>
      <c r="F114" s="109">
        <f t="shared" ref="F114" si="163">F113*26</f>
        <v>168825.27999999997</v>
      </c>
      <c r="G114" s="109">
        <f t="shared" ref="G114" si="164">G113*26</f>
        <v>173946.23999999999</v>
      </c>
      <c r="H114" s="109">
        <f t="shared" ref="H114" si="165">H113*26</f>
        <v>179187.84</v>
      </c>
      <c r="I114" s="109">
        <f t="shared" ref="I114" si="166">I113*26</f>
        <v>184466.88</v>
      </c>
      <c r="J114" s="109">
        <f t="shared" ref="J114" si="167">J113*26</f>
        <v>189745.92000000001</v>
      </c>
      <c r="K114" s="109">
        <f t="shared" ref="K114" si="168">K113*26</f>
        <v>195024.96</v>
      </c>
      <c r="L114" s="109">
        <f t="shared" ref="L114" si="169">L113*26</f>
        <v>200266.56</v>
      </c>
      <c r="M114" s="109">
        <f t="shared" ref="M114" si="170">M113*26</f>
        <v>205545.59999999998</v>
      </c>
    </row>
    <row r="115" spans="1:13" s="129" customFormat="1" x14ac:dyDescent="0.25">
      <c r="A115" s="110"/>
      <c r="B115" s="110"/>
      <c r="C115" s="111" t="s">
        <v>66</v>
      </c>
      <c r="D115" s="128">
        <f>D109*$B$13*26</f>
        <v>158109.12</v>
      </c>
      <c r="E115" s="128">
        <f t="shared" ref="E115:M115" si="171">E109*$B$13*26</f>
        <v>163388.16</v>
      </c>
      <c r="F115" s="128">
        <f t="shared" si="171"/>
        <v>168667.19999999998</v>
      </c>
      <c r="G115" s="128">
        <f t="shared" si="171"/>
        <v>173946.23999999999</v>
      </c>
      <c r="H115" s="128">
        <f t="shared" si="171"/>
        <v>179187.84</v>
      </c>
      <c r="I115" s="128">
        <f t="shared" si="171"/>
        <v>184466.88</v>
      </c>
      <c r="J115" s="128">
        <f t="shared" si="171"/>
        <v>189745.92000000001</v>
      </c>
      <c r="K115" s="128">
        <f t="shared" si="171"/>
        <v>195024.96000000002</v>
      </c>
      <c r="L115" s="128">
        <f t="shared" si="171"/>
        <v>200266.56</v>
      </c>
      <c r="M115" s="112">
        <f t="shared" si="171"/>
        <v>205545.59999999998</v>
      </c>
    </row>
    <row r="116" spans="1:13" x14ac:dyDescent="0.25">
      <c r="A116" s="91" t="s">
        <v>102</v>
      </c>
      <c r="B116" s="91"/>
    </row>
    <row r="117" spans="1:13" x14ac:dyDescent="0.25">
      <c r="A117" s="91" t="s">
        <v>67</v>
      </c>
      <c r="B117" s="91"/>
    </row>
    <row r="118" spans="1:13" x14ac:dyDescent="0.25">
      <c r="A118" s="91"/>
      <c r="B118" s="91"/>
    </row>
    <row r="119" spans="1:13" x14ac:dyDescent="0.25">
      <c r="A119" s="91" t="s">
        <v>68</v>
      </c>
      <c r="B119" s="91"/>
    </row>
    <row r="120" spans="1:13" x14ac:dyDescent="0.25">
      <c r="A120" s="91" t="s">
        <v>69</v>
      </c>
      <c r="B120" s="91"/>
      <c r="G120" s="130"/>
    </row>
    <row r="121" spans="1:13" x14ac:dyDescent="0.25">
      <c r="A121" s="91" t="s">
        <v>19</v>
      </c>
    </row>
    <row r="122" spans="1:13" x14ac:dyDescent="0.25">
      <c r="A122" s="91" t="s">
        <v>32</v>
      </c>
      <c r="B122" s="91"/>
      <c r="G122" s="130">
        <f>ROUND(ROUND(D71/2087,2)*1.5,2)</f>
        <v>45.21</v>
      </c>
      <c r="H122" s="91"/>
    </row>
    <row r="124" spans="1:13" x14ac:dyDescent="0.25">
      <c r="A124" s="91" t="s">
        <v>35</v>
      </c>
      <c r="B124" s="91"/>
    </row>
  </sheetData>
  <sheetProtection algorithmName="SHA-512" hashValue="snql+Og3p7Kdrsxd8wYdpDZRs/Whkf4213T3sMGJPQTTWA9TrGLfhMa5XCZlfqelvweEjfogQTI74Bo1L8XUAQ==" saltValue="M3mhHohIXO3DV7kImDXNpA==" spinCount="100000" sheet="1" objects="1" scenarios="1"/>
  <mergeCells count="4">
    <mergeCell ref="F4:I4"/>
    <mergeCell ref="G5:H5"/>
    <mergeCell ref="A1:M1"/>
    <mergeCell ref="A2:M2"/>
  </mergeCells>
  <phoneticPr fontId="0" type="noConversion"/>
  <hyperlinks>
    <hyperlink ref="G5:H5" location="'Start Page'!G2" display="Return to Start Page" xr:uid="{00000000-0004-0000-0600-000000000000}"/>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1"/>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ColWidth="9.109375" defaultRowHeight="13.2" x14ac:dyDescent="0.25"/>
  <cols>
    <col min="1" max="1" width="7.109375" style="107" customWidth="1"/>
    <col min="2" max="2" width="7.109375" style="82" customWidth="1"/>
    <col min="3" max="3" width="13.5546875" style="82" customWidth="1"/>
    <col min="4" max="13" width="12.6640625" style="82" customWidth="1"/>
    <col min="14" max="16384" width="9.109375" style="82"/>
  </cols>
  <sheetData>
    <row r="1" spans="1:13" s="79" customFormat="1" ht="25.5" customHeight="1" x14ac:dyDescent="0.4">
      <c r="A1" s="184" t="str">
        <f>'Start Page'!$C$48&amp;" Federal Firefighter Pay Chart"</f>
        <v>2023 Federal Firefighter Pay Chart</v>
      </c>
      <c r="B1" s="184"/>
      <c r="C1" s="184"/>
      <c r="D1" s="184"/>
      <c r="E1" s="184"/>
      <c r="F1" s="184"/>
      <c r="G1" s="184"/>
      <c r="H1" s="184"/>
      <c r="I1" s="184"/>
      <c r="J1" s="184"/>
      <c r="K1" s="184"/>
      <c r="L1" s="184"/>
      <c r="M1" s="184"/>
    </row>
    <row r="2" spans="1:13" s="79" customFormat="1" ht="25.5" customHeight="1" x14ac:dyDescent="0.35">
      <c r="A2" s="178" t="str">
        <f>"Locality/COLA Area: "&amp;'Start Page'!C30</f>
        <v>Locality/COLA Area: Rest of the United States</v>
      </c>
      <c r="B2" s="178"/>
      <c r="C2" s="178"/>
      <c r="D2" s="178"/>
      <c r="E2" s="178"/>
      <c r="F2" s="178"/>
      <c r="G2" s="178"/>
      <c r="H2" s="178"/>
      <c r="I2" s="178"/>
      <c r="J2" s="178"/>
      <c r="K2" s="178"/>
      <c r="L2" s="178"/>
      <c r="M2" s="178"/>
    </row>
    <row r="3" spans="1:13" s="79" customFormat="1" ht="25.5" customHeight="1" x14ac:dyDescent="0.4">
      <c r="G3" s="123">
        <f>'Start Page'!D18</f>
        <v>60</v>
      </c>
      <c r="H3" s="124" t="s">
        <v>37</v>
      </c>
    </row>
    <row r="4" spans="1:13" s="79" customFormat="1" ht="12.75" customHeight="1" x14ac:dyDescent="0.25">
      <c r="F4" s="186" t="str">
        <f>IF('Start Page'!$C$48='GS Pay Calculator'!B2,"","Warning! These pay figures are now estimates only!")</f>
        <v/>
      </c>
      <c r="G4" s="186"/>
      <c r="H4" s="186"/>
      <c r="I4" s="186"/>
    </row>
    <row r="5" spans="1:13" s="79" customFormat="1" ht="12.75" customHeight="1" x14ac:dyDescent="0.25">
      <c r="G5" s="179" t="s">
        <v>82</v>
      </c>
      <c r="H5" s="179"/>
    </row>
    <row r="6" spans="1:13" x14ac:dyDescent="0.25">
      <c r="A6" s="94" t="s">
        <v>0</v>
      </c>
      <c r="B6" s="94" t="s">
        <v>40</v>
      </c>
      <c r="C6" s="94" t="s">
        <v>1</v>
      </c>
      <c r="D6" s="94" t="s">
        <v>2</v>
      </c>
      <c r="E6" s="94" t="s">
        <v>3</v>
      </c>
      <c r="F6" s="94" t="s">
        <v>4</v>
      </c>
      <c r="G6" s="94" t="s">
        <v>5</v>
      </c>
      <c r="H6" s="94" t="s">
        <v>6</v>
      </c>
      <c r="I6" s="94" t="s">
        <v>7</v>
      </c>
      <c r="J6" s="94" t="s">
        <v>8</v>
      </c>
      <c r="K6" s="94" t="s">
        <v>9</v>
      </c>
      <c r="L6" s="94" t="s">
        <v>10</v>
      </c>
      <c r="M6" s="94" t="s">
        <v>11</v>
      </c>
    </row>
    <row r="7" spans="1:13" x14ac:dyDescent="0.25">
      <c r="A7" s="96"/>
      <c r="B7" s="96"/>
      <c r="C7" s="105" t="s">
        <v>30</v>
      </c>
      <c r="D7" s="102">
        <f>'GS Pay Scale'!B9</f>
        <v>33906</v>
      </c>
      <c r="E7" s="102">
        <f>'GS Pay Scale'!C9</f>
        <v>34765</v>
      </c>
      <c r="F7" s="102">
        <f>'GS Pay Scale'!D9</f>
        <v>35624</v>
      </c>
      <c r="G7" s="102">
        <f>'GS Pay Scale'!E9</f>
        <v>36483</v>
      </c>
      <c r="H7" s="102">
        <f>'GS Pay Scale'!F9</f>
        <v>37342</v>
      </c>
      <c r="I7" s="102">
        <f>'GS Pay Scale'!G9</f>
        <v>38201</v>
      </c>
      <c r="J7" s="102">
        <f>'GS Pay Scale'!H9</f>
        <v>39060</v>
      </c>
      <c r="K7" s="102">
        <f>'GS Pay Scale'!I9</f>
        <v>39919</v>
      </c>
      <c r="L7" s="102">
        <f>'GS Pay Scale'!J9</f>
        <v>40778</v>
      </c>
      <c r="M7" s="102">
        <f>'GS Pay Scale'!K9</f>
        <v>41637</v>
      </c>
    </row>
    <row r="8" spans="1:13" x14ac:dyDescent="0.25">
      <c r="A8" s="96"/>
      <c r="B8" s="96">
        <v>80</v>
      </c>
      <c r="C8" s="101" t="s">
        <v>41</v>
      </c>
      <c r="D8" s="102">
        <f>D9*80</f>
        <v>1300</v>
      </c>
      <c r="E8" s="102">
        <f t="shared" ref="E8:M8" si="0">E9*80</f>
        <v>1332.8</v>
      </c>
      <c r="F8" s="102">
        <f t="shared" si="0"/>
        <v>1365.6</v>
      </c>
      <c r="G8" s="102">
        <f t="shared" si="0"/>
        <v>1398.4</v>
      </c>
      <c r="H8" s="102">
        <f t="shared" si="0"/>
        <v>1431.2</v>
      </c>
      <c r="I8" s="102">
        <f t="shared" si="0"/>
        <v>1464</v>
      </c>
      <c r="J8" s="102">
        <f t="shared" si="0"/>
        <v>1497.6</v>
      </c>
      <c r="K8" s="102">
        <f t="shared" si="0"/>
        <v>1530.3999999999999</v>
      </c>
      <c r="L8" s="102">
        <f t="shared" si="0"/>
        <v>1563.1999999999998</v>
      </c>
      <c r="M8" s="102">
        <f t="shared" si="0"/>
        <v>1596</v>
      </c>
    </row>
    <row r="9" spans="1:13" x14ac:dyDescent="0.25">
      <c r="A9" s="96"/>
      <c r="B9" s="96"/>
      <c r="C9" s="101" t="s">
        <v>20</v>
      </c>
      <c r="D9" s="103">
        <f>ROUND(D7/2087,2)</f>
        <v>16.25</v>
      </c>
      <c r="E9" s="103">
        <f t="shared" ref="E9:M9" si="1">ROUND(E7/2087,2)</f>
        <v>16.66</v>
      </c>
      <c r="F9" s="103">
        <f t="shared" si="1"/>
        <v>17.07</v>
      </c>
      <c r="G9" s="103">
        <f t="shared" si="1"/>
        <v>17.48</v>
      </c>
      <c r="H9" s="103">
        <f t="shared" si="1"/>
        <v>17.89</v>
      </c>
      <c r="I9" s="103">
        <f t="shared" si="1"/>
        <v>18.3</v>
      </c>
      <c r="J9" s="103">
        <f t="shared" si="1"/>
        <v>18.72</v>
      </c>
      <c r="K9" s="103">
        <f t="shared" si="1"/>
        <v>19.13</v>
      </c>
      <c r="L9" s="103">
        <f t="shared" si="1"/>
        <v>19.54</v>
      </c>
      <c r="M9" s="103">
        <f t="shared" si="1"/>
        <v>19.95</v>
      </c>
    </row>
    <row r="10" spans="1:13" x14ac:dyDescent="0.25">
      <c r="A10" s="96"/>
      <c r="B10" s="96">
        <v>26</v>
      </c>
      <c r="C10" s="105" t="s">
        <v>38</v>
      </c>
      <c r="D10" s="103">
        <f>D11*26</f>
        <v>319.8</v>
      </c>
      <c r="E10" s="103">
        <f t="shared" ref="E10:M10" si="2">E11*26</f>
        <v>327.86</v>
      </c>
      <c r="F10" s="103">
        <f t="shared" si="2"/>
        <v>336.18</v>
      </c>
      <c r="G10" s="103">
        <f t="shared" si="2"/>
        <v>344.24</v>
      </c>
      <c r="H10" s="103">
        <f t="shared" si="2"/>
        <v>352.3</v>
      </c>
      <c r="I10" s="103">
        <f t="shared" si="2"/>
        <v>360.36</v>
      </c>
      <c r="J10" s="103">
        <f t="shared" si="2"/>
        <v>368.42</v>
      </c>
      <c r="K10" s="103">
        <f t="shared" si="2"/>
        <v>376.48</v>
      </c>
      <c r="L10" s="103">
        <f t="shared" si="2"/>
        <v>384.8</v>
      </c>
      <c r="M10" s="103">
        <f t="shared" si="2"/>
        <v>392.86</v>
      </c>
    </row>
    <row r="11" spans="1:13" x14ac:dyDescent="0.25">
      <c r="A11" s="96"/>
      <c r="B11" s="96"/>
      <c r="C11" s="105" t="s">
        <v>13</v>
      </c>
      <c r="D11" s="103">
        <f>ROUND(D7/2756,2)</f>
        <v>12.3</v>
      </c>
      <c r="E11" s="103">
        <f t="shared" ref="E11:M11" si="3">ROUND(E7/2756,2)</f>
        <v>12.61</v>
      </c>
      <c r="F11" s="103">
        <f t="shared" si="3"/>
        <v>12.93</v>
      </c>
      <c r="G11" s="103">
        <f t="shared" si="3"/>
        <v>13.24</v>
      </c>
      <c r="H11" s="103">
        <f t="shared" si="3"/>
        <v>13.55</v>
      </c>
      <c r="I11" s="103">
        <f t="shared" si="3"/>
        <v>13.86</v>
      </c>
      <c r="J11" s="103">
        <f t="shared" si="3"/>
        <v>14.17</v>
      </c>
      <c r="K11" s="103">
        <f t="shared" si="3"/>
        <v>14.48</v>
      </c>
      <c r="L11" s="103">
        <f t="shared" si="3"/>
        <v>14.8</v>
      </c>
      <c r="M11" s="103">
        <f t="shared" si="3"/>
        <v>15.11</v>
      </c>
    </row>
    <row r="12" spans="1:13" x14ac:dyDescent="0.25">
      <c r="A12" s="96" t="s">
        <v>22</v>
      </c>
      <c r="B12" s="104">
        <f>($G$3-53)*2</f>
        <v>14</v>
      </c>
      <c r="C12" s="105" t="s">
        <v>39</v>
      </c>
      <c r="D12" s="103">
        <f>D13*$B$12</f>
        <v>258.3</v>
      </c>
      <c r="E12" s="103">
        <f t="shared" ref="E12:M12" si="4">E13*$B$12</f>
        <v>264.88</v>
      </c>
      <c r="F12" s="103">
        <f t="shared" si="4"/>
        <v>271.59999999999997</v>
      </c>
      <c r="G12" s="103">
        <f t="shared" si="4"/>
        <v>278.03999999999996</v>
      </c>
      <c r="H12" s="103">
        <f t="shared" si="4"/>
        <v>284.62</v>
      </c>
      <c r="I12" s="103">
        <f t="shared" si="4"/>
        <v>291.06</v>
      </c>
      <c r="J12" s="103">
        <f t="shared" si="4"/>
        <v>297.64000000000004</v>
      </c>
      <c r="K12" s="103">
        <f t="shared" si="4"/>
        <v>304.08</v>
      </c>
      <c r="L12" s="103">
        <f t="shared" si="4"/>
        <v>310.8</v>
      </c>
      <c r="M12" s="103">
        <f t="shared" si="4"/>
        <v>317.38</v>
      </c>
    </row>
    <row r="13" spans="1:13" x14ac:dyDescent="0.25">
      <c r="A13" s="96"/>
      <c r="B13" s="96"/>
      <c r="C13" s="105" t="s">
        <v>14</v>
      </c>
      <c r="D13" s="100">
        <f>IF(ROUND(D11*1.5,2)&lt;$G$149,ROUND(D11*1.5,2),IF($G$149&lt;D11,D11,$G$149))</f>
        <v>18.45</v>
      </c>
      <c r="E13" s="100">
        <f t="shared" ref="E13:M13" si="5">IF(ROUND(E11*1.5,2)&lt;$G$149,ROUND(E11*1.5,2),IF($G$149&lt;E11,E11,$G$149))</f>
        <v>18.920000000000002</v>
      </c>
      <c r="F13" s="100">
        <f t="shared" si="5"/>
        <v>19.399999999999999</v>
      </c>
      <c r="G13" s="100">
        <f t="shared" si="5"/>
        <v>19.86</v>
      </c>
      <c r="H13" s="100">
        <f t="shared" si="5"/>
        <v>20.329999999999998</v>
      </c>
      <c r="I13" s="100">
        <f t="shared" si="5"/>
        <v>20.79</v>
      </c>
      <c r="J13" s="100">
        <f t="shared" si="5"/>
        <v>21.26</v>
      </c>
      <c r="K13" s="100">
        <f t="shared" si="5"/>
        <v>21.72</v>
      </c>
      <c r="L13" s="100">
        <f t="shared" si="5"/>
        <v>22.2</v>
      </c>
      <c r="M13" s="100">
        <f t="shared" si="5"/>
        <v>22.67</v>
      </c>
    </row>
    <row r="14" spans="1:13" x14ac:dyDescent="0.25">
      <c r="A14" s="106"/>
      <c r="B14" s="106"/>
      <c r="C14" s="101" t="s">
        <v>43</v>
      </c>
      <c r="D14" s="100">
        <f>(ROUND(D9*'Start Page'!$G$32,2)*80)+(ROUND(D11*'Start Page'!$G$32,2)*($B$15-80))</f>
        <v>0</v>
      </c>
      <c r="E14" s="100">
        <f>(ROUND(E9*'Start Page'!$G$32,2)*80)+(ROUND(E11*'Start Page'!$G$32,2)*($B$15-80))</f>
        <v>0</v>
      </c>
      <c r="F14" s="100">
        <f>(ROUND(F9*'Start Page'!$G$32,2)*80)+(ROUND(F11*'Start Page'!$G$32,2)*($B$15-80))</f>
        <v>0</v>
      </c>
      <c r="G14" s="100">
        <f>(ROUND(G9*'Start Page'!$G$32,2)*80)+(ROUND(G11*'Start Page'!$G$32,2)*($B$15-80))</f>
        <v>0</v>
      </c>
      <c r="H14" s="100">
        <f>(ROUND(H9*'Start Page'!$G$32,2)*80)+(ROUND(H11*'Start Page'!$G$32,2)*($B$15-80))</f>
        <v>0</v>
      </c>
      <c r="I14" s="100">
        <f>(ROUND(I9*'Start Page'!$G$32,2)*80)+(ROUND(I11*'Start Page'!$G$32,2)*($B$15-80))</f>
        <v>0</v>
      </c>
      <c r="J14" s="100">
        <f>(ROUND(J9*'Start Page'!$G$32,2)*80)+(ROUND(J11*'Start Page'!$G$32,2)*($B$15-80))</f>
        <v>0</v>
      </c>
      <c r="K14" s="100">
        <f>(ROUND(K9*'Start Page'!$G$32,2)*80)+(ROUND(K11*'Start Page'!$G$32,2)*($B$15-80))</f>
        <v>0</v>
      </c>
      <c r="L14" s="100">
        <f>(ROUND(L9*'Start Page'!$G$32,2)*80)+(ROUND(L11*'Start Page'!$G$32,2)*($B$15-80))</f>
        <v>0</v>
      </c>
      <c r="M14" s="100">
        <f>(ROUND(M9*'Start Page'!$G$32,2)*80)+(ROUND(M11*'Start Page'!$G$32,2)*($B$15-80))</f>
        <v>0</v>
      </c>
    </row>
    <row r="15" spans="1:13" x14ac:dyDescent="0.25">
      <c r="A15" s="96"/>
      <c r="B15" s="96">
        <f>B8+B10+B12</f>
        <v>120</v>
      </c>
      <c r="C15" s="113" t="s">
        <v>17</v>
      </c>
      <c r="D15" s="131">
        <f>D8+D10+D12+D14</f>
        <v>1878.1</v>
      </c>
      <c r="E15" s="131">
        <f t="shared" ref="E15:M15" si="6">E8+E10+E12+E14</f>
        <v>1925.54</v>
      </c>
      <c r="F15" s="131">
        <f t="shared" si="6"/>
        <v>1973.3799999999999</v>
      </c>
      <c r="G15" s="131">
        <f t="shared" si="6"/>
        <v>2020.68</v>
      </c>
      <c r="H15" s="131">
        <f t="shared" si="6"/>
        <v>2068.12</v>
      </c>
      <c r="I15" s="131">
        <f t="shared" si="6"/>
        <v>2115.42</v>
      </c>
      <c r="J15" s="131">
        <f t="shared" si="6"/>
        <v>2163.66</v>
      </c>
      <c r="K15" s="131">
        <f t="shared" si="6"/>
        <v>2210.96</v>
      </c>
      <c r="L15" s="131">
        <f t="shared" si="6"/>
        <v>2258.7999999999997</v>
      </c>
      <c r="M15" s="131">
        <f t="shared" si="6"/>
        <v>2306.2400000000002</v>
      </c>
    </row>
    <row r="16" spans="1:13" x14ac:dyDescent="0.25">
      <c r="A16" s="96"/>
      <c r="B16" s="96"/>
      <c r="C16" s="113" t="s">
        <v>33</v>
      </c>
      <c r="D16" s="131">
        <f>D15*26</f>
        <v>48830.6</v>
      </c>
      <c r="E16" s="131">
        <f t="shared" ref="E16:M16" si="7">E15*26</f>
        <v>50064.04</v>
      </c>
      <c r="F16" s="131">
        <f t="shared" si="7"/>
        <v>51307.88</v>
      </c>
      <c r="G16" s="131">
        <f t="shared" si="7"/>
        <v>52537.68</v>
      </c>
      <c r="H16" s="131">
        <f t="shared" si="7"/>
        <v>53771.119999999995</v>
      </c>
      <c r="I16" s="131">
        <f t="shared" si="7"/>
        <v>55000.92</v>
      </c>
      <c r="J16" s="131">
        <f t="shared" si="7"/>
        <v>56255.159999999996</v>
      </c>
      <c r="K16" s="131">
        <f t="shared" si="7"/>
        <v>57484.959999999999</v>
      </c>
      <c r="L16" s="131">
        <f t="shared" si="7"/>
        <v>58728.799999999996</v>
      </c>
      <c r="M16" s="131">
        <f t="shared" si="7"/>
        <v>59962.240000000005</v>
      </c>
    </row>
    <row r="17" spans="1:13" s="129" customFormat="1" x14ac:dyDescent="0.25">
      <c r="A17" s="110"/>
      <c r="B17" s="110"/>
      <c r="C17" s="111" t="s">
        <v>66</v>
      </c>
      <c r="D17" s="132">
        <f>((D9*80)+(D11*($B$15-80)))*26</f>
        <v>46592</v>
      </c>
      <c r="E17" s="132">
        <f t="shared" ref="E17:M17" si="8">((E9*80)+(E11*($B$15-80)))*26</f>
        <v>47767.199999999997</v>
      </c>
      <c r="F17" s="132">
        <f t="shared" si="8"/>
        <v>48952.799999999996</v>
      </c>
      <c r="G17" s="132">
        <f t="shared" si="8"/>
        <v>50128</v>
      </c>
      <c r="H17" s="132">
        <f t="shared" si="8"/>
        <v>51303.200000000004</v>
      </c>
      <c r="I17" s="132">
        <f t="shared" si="8"/>
        <v>52478.400000000001</v>
      </c>
      <c r="J17" s="132">
        <f t="shared" si="8"/>
        <v>53674.399999999994</v>
      </c>
      <c r="K17" s="132">
        <f t="shared" si="8"/>
        <v>54849.599999999999</v>
      </c>
      <c r="L17" s="132">
        <f t="shared" si="8"/>
        <v>56035.199999999997</v>
      </c>
      <c r="M17" s="114">
        <f t="shared" si="8"/>
        <v>57210.400000000001</v>
      </c>
    </row>
    <row r="18" spans="1:13" x14ac:dyDescent="0.25">
      <c r="A18" s="96"/>
      <c r="B18" s="95"/>
      <c r="C18" s="126" t="s">
        <v>30</v>
      </c>
      <c r="D18" s="133">
        <f>'GS Pay Scale'!B10</f>
        <v>34584</v>
      </c>
      <c r="E18" s="133">
        <f>'GS Pay Scale'!C10</f>
        <v>35548</v>
      </c>
      <c r="F18" s="133">
        <f>'GS Pay Scale'!D10</f>
        <v>36512</v>
      </c>
      <c r="G18" s="133">
        <f>'GS Pay Scale'!E10</f>
        <v>37476</v>
      </c>
      <c r="H18" s="133">
        <f>'GS Pay Scale'!F10</f>
        <v>38440</v>
      </c>
      <c r="I18" s="133">
        <f>'GS Pay Scale'!G10</f>
        <v>39404</v>
      </c>
      <c r="J18" s="133">
        <f>'GS Pay Scale'!H10</f>
        <v>40431</v>
      </c>
      <c r="K18" s="133">
        <f>'GS Pay Scale'!I10</f>
        <v>41554</v>
      </c>
      <c r="L18" s="133">
        <f>'GS Pay Scale'!J10</f>
        <v>42677</v>
      </c>
      <c r="M18" s="133">
        <f>'GS Pay Scale'!K10</f>
        <v>43801</v>
      </c>
    </row>
    <row r="19" spans="1:13" x14ac:dyDescent="0.25">
      <c r="A19" s="96"/>
      <c r="B19" s="96">
        <v>80</v>
      </c>
      <c r="C19" s="101" t="s">
        <v>41</v>
      </c>
      <c r="D19" s="102">
        <f t="shared" ref="D19:M19" si="9">D20*80</f>
        <v>1325.6</v>
      </c>
      <c r="E19" s="102">
        <f t="shared" si="9"/>
        <v>1362.4</v>
      </c>
      <c r="F19" s="102">
        <f t="shared" si="9"/>
        <v>1399.1999999999998</v>
      </c>
      <c r="G19" s="102">
        <f t="shared" si="9"/>
        <v>1436.8000000000002</v>
      </c>
      <c r="H19" s="102">
        <f t="shared" si="9"/>
        <v>1473.6000000000001</v>
      </c>
      <c r="I19" s="102">
        <f t="shared" si="9"/>
        <v>1510.3999999999999</v>
      </c>
      <c r="J19" s="102">
        <f t="shared" si="9"/>
        <v>1549.6000000000001</v>
      </c>
      <c r="K19" s="102">
        <f t="shared" si="9"/>
        <v>1592.8</v>
      </c>
      <c r="L19" s="102">
        <f t="shared" si="9"/>
        <v>1636</v>
      </c>
      <c r="M19" s="102">
        <f t="shared" si="9"/>
        <v>1679.1999999999998</v>
      </c>
    </row>
    <row r="20" spans="1:13" x14ac:dyDescent="0.25">
      <c r="A20" s="96"/>
      <c r="B20" s="96"/>
      <c r="C20" s="101" t="s">
        <v>20</v>
      </c>
      <c r="D20" s="103">
        <f t="shared" ref="D20:M20" si="10">ROUND(D18/2087,2)</f>
        <v>16.57</v>
      </c>
      <c r="E20" s="103">
        <f t="shared" si="10"/>
        <v>17.03</v>
      </c>
      <c r="F20" s="103">
        <f t="shared" si="10"/>
        <v>17.489999999999998</v>
      </c>
      <c r="G20" s="103">
        <f t="shared" si="10"/>
        <v>17.96</v>
      </c>
      <c r="H20" s="103">
        <f t="shared" si="10"/>
        <v>18.420000000000002</v>
      </c>
      <c r="I20" s="103">
        <f t="shared" si="10"/>
        <v>18.88</v>
      </c>
      <c r="J20" s="103">
        <f t="shared" si="10"/>
        <v>19.37</v>
      </c>
      <c r="K20" s="103">
        <f t="shared" si="10"/>
        <v>19.91</v>
      </c>
      <c r="L20" s="103">
        <f t="shared" si="10"/>
        <v>20.45</v>
      </c>
      <c r="M20" s="103">
        <f t="shared" si="10"/>
        <v>20.99</v>
      </c>
    </row>
    <row r="21" spans="1:13" x14ac:dyDescent="0.25">
      <c r="A21" s="96"/>
      <c r="B21" s="96">
        <v>26</v>
      </c>
      <c r="C21" s="105" t="s">
        <v>38</v>
      </c>
      <c r="D21" s="103">
        <f t="shared" ref="D21:M21" si="11">D22*26</f>
        <v>326.3</v>
      </c>
      <c r="E21" s="103">
        <f t="shared" si="11"/>
        <v>335.40000000000003</v>
      </c>
      <c r="F21" s="103">
        <f t="shared" si="11"/>
        <v>344.5</v>
      </c>
      <c r="G21" s="103">
        <f t="shared" si="11"/>
        <v>353.59999999999997</v>
      </c>
      <c r="H21" s="103">
        <f t="shared" si="11"/>
        <v>362.7</v>
      </c>
      <c r="I21" s="103">
        <f t="shared" si="11"/>
        <v>371.8</v>
      </c>
      <c r="J21" s="103">
        <f t="shared" si="11"/>
        <v>381.42</v>
      </c>
      <c r="K21" s="103">
        <f t="shared" si="11"/>
        <v>392.08</v>
      </c>
      <c r="L21" s="103">
        <f t="shared" si="11"/>
        <v>402.74</v>
      </c>
      <c r="M21" s="103">
        <f t="shared" si="11"/>
        <v>413.14</v>
      </c>
    </row>
    <row r="22" spans="1:13" x14ac:dyDescent="0.25">
      <c r="A22" s="96"/>
      <c r="B22" s="96"/>
      <c r="C22" s="105" t="s">
        <v>13</v>
      </c>
      <c r="D22" s="103">
        <f t="shared" ref="D22:M22" si="12">ROUND(D18/2756,2)</f>
        <v>12.55</v>
      </c>
      <c r="E22" s="103">
        <f t="shared" si="12"/>
        <v>12.9</v>
      </c>
      <c r="F22" s="103">
        <f t="shared" si="12"/>
        <v>13.25</v>
      </c>
      <c r="G22" s="103">
        <f t="shared" si="12"/>
        <v>13.6</v>
      </c>
      <c r="H22" s="103">
        <f t="shared" si="12"/>
        <v>13.95</v>
      </c>
      <c r="I22" s="103">
        <f t="shared" si="12"/>
        <v>14.3</v>
      </c>
      <c r="J22" s="103">
        <f t="shared" si="12"/>
        <v>14.67</v>
      </c>
      <c r="K22" s="103">
        <f t="shared" si="12"/>
        <v>15.08</v>
      </c>
      <c r="L22" s="103">
        <f t="shared" si="12"/>
        <v>15.49</v>
      </c>
      <c r="M22" s="103">
        <f t="shared" si="12"/>
        <v>15.89</v>
      </c>
    </row>
    <row r="23" spans="1:13" x14ac:dyDescent="0.25">
      <c r="A23" s="96" t="s">
        <v>23</v>
      </c>
      <c r="B23" s="104">
        <f>($G$3-53)*2</f>
        <v>14</v>
      </c>
      <c r="C23" s="105" t="s">
        <v>39</v>
      </c>
      <c r="D23" s="103">
        <f t="shared" ref="D23:M23" si="13">D24*$B$12</f>
        <v>263.62</v>
      </c>
      <c r="E23" s="103">
        <f t="shared" si="13"/>
        <v>270.90000000000003</v>
      </c>
      <c r="F23" s="103">
        <f t="shared" si="13"/>
        <v>278.32</v>
      </c>
      <c r="G23" s="103">
        <f t="shared" si="13"/>
        <v>285.59999999999997</v>
      </c>
      <c r="H23" s="103">
        <f t="shared" si="13"/>
        <v>293.02</v>
      </c>
      <c r="I23" s="103">
        <f t="shared" si="13"/>
        <v>300.3</v>
      </c>
      <c r="J23" s="103">
        <f t="shared" si="13"/>
        <v>308.14000000000004</v>
      </c>
      <c r="K23" s="103">
        <f t="shared" si="13"/>
        <v>316.68</v>
      </c>
      <c r="L23" s="103">
        <f t="shared" si="13"/>
        <v>325.35999999999996</v>
      </c>
      <c r="M23" s="103">
        <f t="shared" si="13"/>
        <v>333.76</v>
      </c>
    </row>
    <row r="24" spans="1:13" x14ac:dyDescent="0.25">
      <c r="A24" s="96"/>
      <c r="B24" s="96"/>
      <c r="C24" s="105" t="s">
        <v>14</v>
      </c>
      <c r="D24" s="100">
        <f t="shared" ref="D24:M24" si="14">IF(ROUND(D22*1.5,2)&lt;$G$149,ROUND(D22*1.5,2),IF($G$149&lt;D22,D22,$G$149))</f>
        <v>18.829999999999998</v>
      </c>
      <c r="E24" s="100">
        <f t="shared" si="14"/>
        <v>19.350000000000001</v>
      </c>
      <c r="F24" s="100">
        <f t="shared" si="14"/>
        <v>19.88</v>
      </c>
      <c r="G24" s="100">
        <f t="shared" si="14"/>
        <v>20.399999999999999</v>
      </c>
      <c r="H24" s="100">
        <f t="shared" si="14"/>
        <v>20.93</v>
      </c>
      <c r="I24" s="100">
        <f t="shared" si="14"/>
        <v>21.45</v>
      </c>
      <c r="J24" s="100">
        <f t="shared" si="14"/>
        <v>22.01</v>
      </c>
      <c r="K24" s="100">
        <f t="shared" si="14"/>
        <v>22.62</v>
      </c>
      <c r="L24" s="100">
        <f t="shared" si="14"/>
        <v>23.24</v>
      </c>
      <c r="M24" s="100">
        <f t="shared" si="14"/>
        <v>23.84</v>
      </c>
    </row>
    <row r="25" spans="1:13" x14ac:dyDescent="0.25">
      <c r="A25" s="106"/>
      <c r="B25" s="106"/>
      <c r="C25" s="101" t="s">
        <v>43</v>
      </c>
      <c r="D25" s="100">
        <f>(ROUND(D20*'Start Page'!$G$32,2)*80)+(ROUND(D22*'Start Page'!$G$32,2)*($B$15-80))</f>
        <v>0</v>
      </c>
      <c r="E25" s="100">
        <f>(ROUND(E20*'Start Page'!$G$32,2)*80)+(ROUND(E22*'Start Page'!$G$32,2)*($B$15-80))</f>
        <v>0</v>
      </c>
      <c r="F25" s="100">
        <f>(ROUND(F20*'Start Page'!$G$32,2)*80)+(ROUND(F22*'Start Page'!$G$32,2)*($B$15-80))</f>
        <v>0</v>
      </c>
      <c r="G25" s="100">
        <f>(ROUND(G20*'Start Page'!$G$32,2)*80)+(ROUND(G22*'Start Page'!$G$32,2)*($B$15-80))</f>
        <v>0</v>
      </c>
      <c r="H25" s="100">
        <f>(ROUND(H20*'Start Page'!$G$32,2)*80)+(ROUND(H22*'Start Page'!$G$32,2)*($B$15-80))</f>
        <v>0</v>
      </c>
      <c r="I25" s="100">
        <f>(ROUND(I20*'Start Page'!$G$32,2)*80)+(ROUND(I22*'Start Page'!$G$32,2)*($B$15-80))</f>
        <v>0</v>
      </c>
      <c r="J25" s="100">
        <f>(ROUND(J20*'Start Page'!$G$32,2)*80)+(ROUND(J22*'Start Page'!$G$32,2)*($B$15-80))</f>
        <v>0</v>
      </c>
      <c r="K25" s="100">
        <f>(ROUND(K20*'Start Page'!$G$32,2)*80)+(ROUND(K22*'Start Page'!$G$32,2)*($B$15-80))</f>
        <v>0</v>
      </c>
      <c r="L25" s="100">
        <f>(ROUND(L20*'Start Page'!$G$32,2)*80)+(ROUND(L22*'Start Page'!$G$32,2)*($B$15-80))</f>
        <v>0</v>
      </c>
      <c r="M25" s="100">
        <f>(ROUND(M20*'Start Page'!$G$32,2)*80)+(ROUND(M22*'Start Page'!$G$32,2)*($B$15-80))</f>
        <v>0</v>
      </c>
    </row>
    <row r="26" spans="1:13" x14ac:dyDescent="0.25">
      <c r="A26" s="96"/>
      <c r="B26" s="96">
        <f>B19+B21+B23</f>
        <v>120</v>
      </c>
      <c r="C26" s="113" t="s">
        <v>17</v>
      </c>
      <c r="D26" s="131">
        <f t="shared" ref="D26:M26" si="15">D19+D21+D23+D25</f>
        <v>1915.52</v>
      </c>
      <c r="E26" s="131">
        <f t="shared" si="15"/>
        <v>1968.7000000000003</v>
      </c>
      <c r="F26" s="131">
        <f t="shared" si="15"/>
        <v>2022.0199999999998</v>
      </c>
      <c r="G26" s="131">
        <f t="shared" si="15"/>
        <v>2076</v>
      </c>
      <c r="H26" s="131">
        <f t="shared" si="15"/>
        <v>2129.3200000000002</v>
      </c>
      <c r="I26" s="131">
        <f t="shared" si="15"/>
        <v>2182.5</v>
      </c>
      <c r="J26" s="131">
        <f t="shared" si="15"/>
        <v>2239.1600000000003</v>
      </c>
      <c r="K26" s="131">
        <f t="shared" si="15"/>
        <v>2301.56</v>
      </c>
      <c r="L26" s="131">
        <f t="shared" si="15"/>
        <v>2364.1</v>
      </c>
      <c r="M26" s="131">
        <f t="shared" si="15"/>
        <v>2426.0999999999995</v>
      </c>
    </row>
    <row r="27" spans="1:13" x14ac:dyDescent="0.25">
      <c r="A27" s="96"/>
      <c r="B27" s="96"/>
      <c r="C27" s="113" t="s">
        <v>33</v>
      </c>
      <c r="D27" s="131">
        <f>D26*26</f>
        <v>49803.519999999997</v>
      </c>
      <c r="E27" s="131">
        <f t="shared" ref="E27" si="16">E26*26</f>
        <v>51186.200000000004</v>
      </c>
      <c r="F27" s="131">
        <f t="shared" ref="F27" si="17">F26*26</f>
        <v>52572.52</v>
      </c>
      <c r="G27" s="131">
        <f t="shared" ref="G27" si="18">G26*26</f>
        <v>53976</v>
      </c>
      <c r="H27" s="131">
        <f t="shared" ref="H27" si="19">H26*26</f>
        <v>55362.320000000007</v>
      </c>
      <c r="I27" s="131">
        <f t="shared" ref="I27" si="20">I26*26</f>
        <v>56745</v>
      </c>
      <c r="J27" s="131">
        <f t="shared" ref="J27" si="21">J26*26</f>
        <v>58218.160000000011</v>
      </c>
      <c r="K27" s="131">
        <f t="shared" ref="K27" si="22">K26*26</f>
        <v>59840.56</v>
      </c>
      <c r="L27" s="140">
        <f t="shared" ref="L27" si="23">L26*26</f>
        <v>61466.6</v>
      </c>
      <c r="M27" s="131">
        <f t="shared" ref="M27" si="24">M26*26</f>
        <v>63078.599999999984</v>
      </c>
    </row>
    <row r="28" spans="1:13" s="129" customFormat="1" x14ac:dyDescent="0.25">
      <c r="A28" s="110"/>
      <c r="B28" s="110"/>
      <c r="C28" s="111" t="s">
        <v>66</v>
      </c>
      <c r="D28" s="132">
        <f>((D20*80)+(D22*($B$15-80)))*26</f>
        <v>47517.599999999999</v>
      </c>
      <c r="E28" s="132">
        <f t="shared" ref="E28:M28" si="25">((E20*80)+(E22*($B$15-80)))*26</f>
        <v>48838.400000000001</v>
      </c>
      <c r="F28" s="132">
        <f t="shared" si="25"/>
        <v>50159.199999999997</v>
      </c>
      <c r="G28" s="132">
        <f t="shared" si="25"/>
        <v>51500.800000000003</v>
      </c>
      <c r="H28" s="132">
        <f t="shared" si="25"/>
        <v>52821.600000000006</v>
      </c>
      <c r="I28" s="132">
        <f t="shared" si="25"/>
        <v>54142.399999999994</v>
      </c>
      <c r="J28" s="132">
        <f t="shared" si="25"/>
        <v>55546.400000000001</v>
      </c>
      <c r="K28" s="132">
        <f t="shared" si="25"/>
        <v>57096</v>
      </c>
      <c r="L28" s="132">
        <f t="shared" si="25"/>
        <v>58645.599999999999</v>
      </c>
      <c r="M28" s="114">
        <f t="shared" si="25"/>
        <v>60184.799999999996</v>
      </c>
    </row>
    <row r="29" spans="1:13" x14ac:dyDescent="0.25">
      <c r="A29" s="96"/>
      <c r="B29" s="95"/>
      <c r="C29" s="126" t="s">
        <v>30</v>
      </c>
      <c r="D29" s="133">
        <f>'GS Pay Scale'!B11</f>
        <v>37696</v>
      </c>
      <c r="E29" s="133">
        <f>'GS Pay Scale'!C11</f>
        <v>38953</v>
      </c>
      <c r="F29" s="133">
        <f>'GS Pay Scale'!D11</f>
        <v>40210</v>
      </c>
      <c r="G29" s="133">
        <f>'GS Pay Scale'!E11</f>
        <v>41467</v>
      </c>
      <c r="H29" s="133">
        <f>'GS Pay Scale'!F11</f>
        <v>42724</v>
      </c>
      <c r="I29" s="133">
        <f>'GS Pay Scale'!G11</f>
        <v>43981</v>
      </c>
      <c r="J29" s="133">
        <f>'GS Pay Scale'!H11</f>
        <v>45238</v>
      </c>
      <c r="K29" s="133">
        <f>'GS Pay Scale'!I11</f>
        <v>46495</v>
      </c>
      <c r="L29" s="133">
        <f>'GS Pay Scale'!J11</f>
        <v>47752</v>
      </c>
      <c r="M29" s="133">
        <f>'GS Pay Scale'!K11</f>
        <v>49009</v>
      </c>
    </row>
    <row r="30" spans="1:13" x14ac:dyDescent="0.25">
      <c r="A30" s="96"/>
      <c r="B30" s="96">
        <v>80</v>
      </c>
      <c r="C30" s="101" t="s">
        <v>41</v>
      </c>
      <c r="D30" s="102">
        <f t="shared" ref="D30:M30" si="26">D31*80</f>
        <v>1444.8</v>
      </c>
      <c r="E30" s="102">
        <f t="shared" si="26"/>
        <v>1492.8</v>
      </c>
      <c r="F30" s="102">
        <f t="shared" si="26"/>
        <v>1541.6</v>
      </c>
      <c r="G30" s="102">
        <f t="shared" si="26"/>
        <v>1589.6000000000001</v>
      </c>
      <c r="H30" s="102">
        <f t="shared" si="26"/>
        <v>1637.6</v>
      </c>
      <c r="I30" s="102">
        <f t="shared" si="26"/>
        <v>1685.6</v>
      </c>
      <c r="J30" s="102">
        <f t="shared" si="26"/>
        <v>1734.4</v>
      </c>
      <c r="K30" s="102">
        <f t="shared" si="26"/>
        <v>1782.4</v>
      </c>
      <c r="L30" s="102">
        <f t="shared" si="26"/>
        <v>1830.3999999999999</v>
      </c>
      <c r="M30" s="102">
        <f t="shared" si="26"/>
        <v>1878.4</v>
      </c>
    </row>
    <row r="31" spans="1:13" x14ac:dyDescent="0.25">
      <c r="A31" s="96"/>
      <c r="B31" s="96"/>
      <c r="C31" s="101" t="s">
        <v>20</v>
      </c>
      <c r="D31" s="103">
        <f t="shared" ref="D31:M31" si="27">ROUND(D29/2087,2)</f>
        <v>18.059999999999999</v>
      </c>
      <c r="E31" s="103">
        <f t="shared" si="27"/>
        <v>18.66</v>
      </c>
      <c r="F31" s="103">
        <f t="shared" si="27"/>
        <v>19.27</v>
      </c>
      <c r="G31" s="103">
        <f t="shared" si="27"/>
        <v>19.87</v>
      </c>
      <c r="H31" s="103">
        <f t="shared" si="27"/>
        <v>20.47</v>
      </c>
      <c r="I31" s="103">
        <f t="shared" si="27"/>
        <v>21.07</v>
      </c>
      <c r="J31" s="103">
        <f t="shared" si="27"/>
        <v>21.68</v>
      </c>
      <c r="K31" s="103">
        <f t="shared" si="27"/>
        <v>22.28</v>
      </c>
      <c r="L31" s="103">
        <f t="shared" si="27"/>
        <v>22.88</v>
      </c>
      <c r="M31" s="103">
        <f t="shared" si="27"/>
        <v>23.48</v>
      </c>
    </row>
    <row r="32" spans="1:13" x14ac:dyDescent="0.25">
      <c r="A32" s="96"/>
      <c r="B32" s="96">
        <v>26</v>
      </c>
      <c r="C32" s="105" t="s">
        <v>38</v>
      </c>
      <c r="D32" s="103">
        <f t="shared" ref="D32:M32" si="28">D33*26</f>
        <v>355.68</v>
      </c>
      <c r="E32" s="103">
        <f t="shared" si="28"/>
        <v>367.38</v>
      </c>
      <c r="F32" s="103">
        <f t="shared" si="28"/>
        <v>379.34</v>
      </c>
      <c r="G32" s="103">
        <f t="shared" si="28"/>
        <v>391.3</v>
      </c>
      <c r="H32" s="103">
        <f t="shared" si="28"/>
        <v>403</v>
      </c>
      <c r="I32" s="103">
        <f t="shared" si="28"/>
        <v>414.96000000000004</v>
      </c>
      <c r="J32" s="103">
        <f t="shared" si="28"/>
        <v>426.66</v>
      </c>
      <c r="K32" s="103">
        <f t="shared" si="28"/>
        <v>438.62</v>
      </c>
      <c r="L32" s="103">
        <f t="shared" si="28"/>
        <v>450.57999999999993</v>
      </c>
      <c r="M32" s="103">
        <f t="shared" si="28"/>
        <v>462.28000000000003</v>
      </c>
    </row>
    <row r="33" spans="1:13" x14ac:dyDescent="0.25">
      <c r="A33" s="96"/>
      <c r="B33" s="96"/>
      <c r="C33" s="105" t="s">
        <v>13</v>
      </c>
      <c r="D33" s="103">
        <f t="shared" ref="D33:M33" si="29">ROUND(D29/2756,2)</f>
        <v>13.68</v>
      </c>
      <c r="E33" s="103">
        <f t="shared" si="29"/>
        <v>14.13</v>
      </c>
      <c r="F33" s="103">
        <f t="shared" si="29"/>
        <v>14.59</v>
      </c>
      <c r="G33" s="103">
        <f t="shared" si="29"/>
        <v>15.05</v>
      </c>
      <c r="H33" s="103">
        <f t="shared" si="29"/>
        <v>15.5</v>
      </c>
      <c r="I33" s="103">
        <f t="shared" si="29"/>
        <v>15.96</v>
      </c>
      <c r="J33" s="103">
        <f t="shared" si="29"/>
        <v>16.41</v>
      </c>
      <c r="K33" s="103">
        <f t="shared" si="29"/>
        <v>16.87</v>
      </c>
      <c r="L33" s="103">
        <f t="shared" si="29"/>
        <v>17.329999999999998</v>
      </c>
      <c r="M33" s="103">
        <f t="shared" si="29"/>
        <v>17.78</v>
      </c>
    </row>
    <row r="34" spans="1:13" x14ac:dyDescent="0.25">
      <c r="A34" s="96" t="s">
        <v>24</v>
      </c>
      <c r="B34" s="104">
        <f>($G$3-53)*2</f>
        <v>14</v>
      </c>
      <c r="C34" s="105" t="s">
        <v>39</v>
      </c>
      <c r="D34" s="103">
        <f t="shared" ref="D34:M34" si="30">D35*$B$12</f>
        <v>287.27999999999997</v>
      </c>
      <c r="E34" s="103">
        <f t="shared" si="30"/>
        <v>296.8</v>
      </c>
      <c r="F34" s="103">
        <f t="shared" si="30"/>
        <v>306.46000000000004</v>
      </c>
      <c r="G34" s="103">
        <f t="shared" si="30"/>
        <v>316.12</v>
      </c>
      <c r="H34" s="103">
        <f t="shared" si="30"/>
        <v>325.5</v>
      </c>
      <c r="I34" s="103">
        <f t="shared" si="30"/>
        <v>335.16</v>
      </c>
      <c r="J34" s="103">
        <f t="shared" si="30"/>
        <v>344.68</v>
      </c>
      <c r="K34" s="103">
        <f t="shared" si="30"/>
        <v>354.34</v>
      </c>
      <c r="L34" s="103">
        <f t="shared" si="30"/>
        <v>364</v>
      </c>
      <c r="M34" s="103">
        <f t="shared" si="30"/>
        <v>373.38</v>
      </c>
    </row>
    <row r="35" spans="1:13" x14ac:dyDescent="0.25">
      <c r="A35" s="96"/>
      <c r="B35" s="96"/>
      <c r="C35" s="105" t="s">
        <v>14</v>
      </c>
      <c r="D35" s="100">
        <f t="shared" ref="D35:M35" si="31">IF(ROUND(D33*1.5,2)&lt;$G$149,ROUND(D33*1.5,2),IF($G$149&lt;D33,D33,$G$149))</f>
        <v>20.52</v>
      </c>
      <c r="E35" s="100">
        <f t="shared" si="31"/>
        <v>21.2</v>
      </c>
      <c r="F35" s="100">
        <f t="shared" si="31"/>
        <v>21.89</v>
      </c>
      <c r="G35" s="100">
        <f t="shared" si="31"/>
        <v>22.58</v>
      </c>
      <c r="H35" s="100">
        <f t="shared" si="31"/>
        <v>23.25</v>
      </c>
      <c r="I35" s="100">
        <f t="shared" si="31"/>
        <v>23.94</v>
      </c>
      <c r="J35" s="100">
        <f t="shared" si="31"/>
        <v>24.62</v>
      </c>
      <c r="K35" s="100">
        <f t="shared" si="31"/>
        <v>25.31</v>
      </c>
      <c r="L35" s="100">
        <f t="shared" si="31"/>
        <v>26</v>
      </c>
      <c r="M35" s="100">
        <f t="shared" si="31"/>
        <v>26.67</v>
      </c>
    </row>
    <row r="36" spans="1:13" x14ac:dyDescent="0.25">
      <c r="A36" s="106"/>
      <c r="B36" s="106"/>
      <c r="C36" s="101" t="s">
        <v>43</v>
      </c>
      <c r="D36" s="100">
        <f>(ROUND(D31*'Start Page'!$G$32,2)*80)+(ROUND(D33*'Start Page'!$G$32,2)*($B$15-80))</f>
        <v>0</v>
      </c>
      <c r="E36" s="100">
        <f>(ROUND(E31*'Start Page'!$G$32,2)*80)+(ROUND(E33*'Start Page'!$G$32,2)*($B$15-80))</f>
        <v>0</v>
      </c>
      <c r="F36" s="100">
        <f>(ROUND(F31*'Start Page'!$G$32,2)*80)+(ROUND(F33*'Start Page'!$G$32,2)*($B$15-80))</f>
        <v>0</v>
      </c>
      <c r="G36" s="100">
        <f>(ROUND(G31*'Start Page'!$G$32,2)*80)+(ROUND(G33*'Start Page'!$G$32,2)*($B$15-80))</f>
        <v>0</v>
      </c>
      <c r="H36" s="100">
        <f>(ROUND(H31*'Start Page'!$G$32,2)*80)+(ROUND(H33*'Start Page'!$G$32,2)*($B$15-80))</f>
        <v>0</v>
      </c>
      <c r="I36" s="100">
        <f>(ROUND(I31*'Start Page'!$G$32,2)*80)+(ROUND(I33*'Start Page'!$G$32,2)*($B$15-80))</f>
        <v>0</v>
      </c>
      <c r="J36" s="100">
        <f>(ROUND(J31*'Start Page'!$G$32,2)*80)+(ROUND(J33*'Start Page'!$G$32,2)*($B$15-80))</f>
        <v>0</v>
      </c>
      <c r="K36" s="100">
        <f>(ROUND(K31*'Start Page'!$G$32,2)*80)+(ROUND(K33*'Start Page'!$G$32,2)*($B$15-80))</f>
        <v>0</v>
      </c>
      <c r="L36" s="100">
        <f>(ROUND(L31*'Start Page'!$G$32,2)*80)+(ROUND(L33*'Start Page'!$G$32,2)*($B$15-80))</f>
        <v>0</v>
      </c>
      <c r="M36" s="100">
        <f>(ROUND(M31*'Start Page'!$G$32,2)*80)+(ROUND(M33*'Start Page'!$G$32,2)*($B$15-80))</f>
        <v>0</v>
      </c>
    </row>
    <row r="37" spans="1:13" x14ac:dyDescent="0.25">
      <c r="A37" s="96"/>
      <c r="B37" s="96">
        <f>B30+B32+B34</f>
        <v>120</v>
      </c>
      <c r="C37" s="113" t="s">
        <v>17</v>
      </c>
      <c r="D37" s="131">
        <f t="shared" ref="D37:M37" si="32">D30+D32+D34+D36</f>
        <v>2087.7600000000002</v>
      </c>
      <c r="E37" s="131">
        <f t="shared" si="32"/>
        <v>2156.98</v>
      </c>
      <c r="F37" s="131">
        <f t="shared" si="32"/>
        <v>2227.3999999999996</v>
      </c>
      <c r="G37" s="131">
        <f t="shared" si="32"/>
        <v>2297.02</v>
      </c>
      <c r="H37" s="131">
        <f t="shared" si="32"/>
        <v>2366.1</v>
      </c>
      <c r="I37" s="131">
        <f t="shared" si="32"/>
        <v>2435.7199999999998</v>
      </c>
      <c r="J37" s="131">
        <f t="shared" si="32"/>
        <v>2505.7399999999998</v>
      </c>
      <c r="K37" s="131">
        <f t="shared" si="32"/>
        <v>2575.36</v>
      </c>
      <c r="L37" s="131">
        <f t="shared" si="32"/>
        <v>2644.9799999999996</v>
      </c>
      <c r="M37" s="131">
        <f t="shared" si="32"/>
        <v>2714.0600000000004</v>
      </c>
    </row>
    <row r="38" spans="1:13" x14ac:dyDescent="0.25">
      <c r="A38" s="96"/>
      <c r="B38" s="96"/>
      <c r="C38" s="113" t="s">
        <v>33</v>
      </c>
      <c r="D38" s="131">
        <f>D37*26</f>
        <v>54281.760000000009</v>
      </c>
      <c r="E38" s="131">
        <f t="shared" ref="E38" si="33">E37*26</f>
        <v>56081.48</v>
      </c>
      <c r="F38" s="131">
        <f t="shared" ref="F38" si="34">F37*26</f>
        <v>57912.399999999994</v>
      </c>
      <c r="G38" s="131">
        <f t="shared" ref="G38" si="35">G37*26</f>
        <v>59722.52</v>
      </c>
      <c r="H38" s="131">
        <f t="shared" ref="H38" si="36">H37*26</f>
        <v>61518.6</v>
      </c>
      <c r="I38" s="131">
        <f t="shared" ref="I38" si="37">I37*26</f>
        <v>63328.719999999994</v>
      </c>
      <c r="J38" s="131">
        <f t="shared" ref="J38" si="38">J37*26</f>
        <v>65149.239999999991</v>
      </c>
      <c r="K38" s="131">
        <f t="shared" ref="K38" si="39">K37*26</f>
        <v>66959.360000000001</v>
      </c>
      <c r="L38" s="131">
        <f t="shared" ref="L38" si="40">L37*26</f>
        <v>68769.479999999981</v>
      </c>
      <c r="M38" s="131">
        <f t="shared" ref="M38" si="41">M37*26</f>
        <v>70565.560000000012</v>
      </c>
    </row>
    <row r="39" spans="1:13" s="129" customFormat="1" x14ac:dyDescent="0.25">
      <c r="A39" s="110"/>
      <c r="B39" s="110"/>
      <c r="C39" s="111" t="s">
        <v>66</v>
      </c>
      <c r="D39" s="132">
        <f>((D31*80)+(D33*($B$15-80)))*26</f>
        <v>51792</v>
      </c>
      <c r="E39" s="132">
        <f t="shared" ref="E39:M39" si="42">((E31*80)+(E33*($B$15-80)))*26</f>
        <v>53508</v>
      </c>
      <c r="F39" s="132">
        <f t="shared" si="42"/>
        <v>55255.199999999997</v>
      </c>
      <c r="G39" s="132">
        <f t="shared" si="42"/>
        <v>56981.600000000006</v>
      </c>
      <c r="H39" s="132">
        <f t="shared" si="42"/>
        <v>58697.599999999999</v>
      </c>
      <c r="I39" s="132">
        <f t="shared" si="42"/>
        <v>60424</v>
      </c>
      <c r="J39" s="132">
        <f t="shared" si="42"/>
        <v>62160.800000000003</v>
      </c>
      <c r="K39" s="132">
        <f t="shared" si="42"/>
        <v>63887.200000000004</v>
      </c>
      <c r="L39" s="132">
        <f t="shared" si="42"/>
        <v>65613.599999999991</v>
      </c>
      <c r="M39" s="114">
        <f t="shared" si="42"/>
        <v>67329.600000000006</v>
      </c>
    </row>
    <row r="40" spans="1:13" x14ac:dyDescent="0.25">
      <c r="A40" s="96"/>
      <c r="B40" s="95"/>
      <c r="C40" s="126" t="s">
        <v>30</v>
      </c>
      <c r="D40" s="133">
        <f>'GS Pay Scale'!B12</f>
        <v>42022</v>
      </c>
      <c r="E40" s="133">
        <f>'GS Pay Scale'!C12</f>
        <v>43422</v>
      </c>
      <c r="F40" s="133">
        <f>'GS Pay Scale'!D12</f>
        <v>44822</v>
      </c>
      <c r="G40" s="133">
        <f>'GS Pay Scale'!E12</f>
        <v>46223</v>
      </c>
      <c r="H40" s="133">
        <f>'GS Pay Scale'!F12</f>
        <v>47623</v>
      </c>
      <c r="I40" s="133">
        <f>'GS Pay Scale'!G12</f>
        <v>49023</v>
      </c>
      <c r="J40" s="133">
        <f>'GS Pay Scale'!H12</f>
        <v>50424</v>
      </c>
      <c r="K40" s="133">
        <f>'GS Pay Scale'!I12</f>
        <v>51824</v>
      </c>
      <c r="L40" s="133">
        <f>'GS Pay Scale'!J12</f>
        <v>53224</v>
      </c>
      <c r="M40" s="133">
        <f>'GS Pay Scale'!K12</f>
        <v>54625</v>
      </c>
    </row>
    <row r="41" spans="1:13" x14ac:dyDescent="0.25">
      <c r="A41" s="96"/>
      <c r="B41" s="96">
        <v>80</v>
      </c>
      <c r="C41" s="101" t="s">
        <v>41</v>
      </c>
      <c r="D41" s="102">
        <f t="shared" ref="D41:M41" si="43">D42*80</f>
        <v>1611.2</v>
      </c>
      <c r="E41" s="102">
        <f t="shared" si="43"/>
        <v>1664.8</v>
      </c>
      <c r="F41" s="102">
        <f t="shared" si="43"/>
        <v>1718.4</v>
      </c>
      <c r="G41" s="102">
        <f t="shared" si="43"/>
        <v>1772</v>
      </c>
      <c r="H41" s="102">
        <f t="shared" si="43"/>
        <v>1825.6</v>
      </c>
      <c r="I41" s="102">
        <f t="shared" si="43"/>
        <v>1879.1999999999998</v>
      </c>
      <c r="J41" s="102">
        <f t="shared" si="43"/>
        <v>1932.8</v>
      </c>
      <c r="K41" s="102">
        <f t="shared" si="43"/>
        <v>1986.3999999999999</v>
      </c>
      <c r="L41" s="102">
        <f t="shared" si="43"/>
        <v>2040</v>
      </c>
      <c r="M41" s="102">
        <f t="shared" si="43"/>
        <v>2093.6000000000004</v>
      </c>
    </row>
    <row r="42" spans="1:13" x14ac:dyDescent="0.25">
      <c r="A42" s="96"/>
      <c r="B42" s="96"/>
      <c r="C42" s="101" t="s">
        <v>20</v>
      </c>
      <c r="D42" s="103">
        <f t="shared" ref="D42:M42" si="44">ROUND(D40/2087,2)</f>
        <v>20.14</v>
      </c>
      <c r="E42" s="103">
        <f t="shared" si="44"/>
        <v>20.81</v>
      </c>
      <c r="F42" s="103">
        <f t="shared" si="44"/>
        <v>21.48</v>
      </c>
      <c r="G42" s="103">
        <f t="shared" si="44"/>
        <v>22.15</v>
      </c>
      <c r="H42" s="103">
        <f t="shared" si="44"/>
        <v>22.82</v>
      </c>
      <c r="I42" s="103">
        <f t="shared" si="44"/>
        <v>23.49</v>
      </c>
      <c r="J42" s="103">
        <f t="shared" si="44"/>
        <v>24.16</v>
      </c>
      <c r="K42" s="103">
        <f t="shared" si="44"/>
        <v>24.83</v>
      </c>
      <c r="L42" s="103">
        <f t="shared" si="44"/>
        <v>25.5</v>
      </c>
      <c r="M42" s="103">
        <f t="shared" si="44"/>
        <v>26.17</v>
      </c>
    </row>
    <row r="43" spans="1:13" x14ac:dyDescent="0.25">
      <c r="A43" s="96"/>
      <c r="B43" s="96">
        <v>26</v>
      </c>
      <c r="C43" s="105" t="s">
        <v>38</v>
      </c>
      <c r="D43" s="103">
        <f t="shared" ref="D43:M43" si="45">D44*26</f>
        <v>396.5</v>
      </c>
      <c r="E43" s="103">
        <f t="shared" si="45"/>
        <v>409.76</v>
      </c>
      <c r="F43" s="103">
        <f t="shared" si="45"/>
        <v>422.76000000000005</v>
      </c>
      <c r="G43" s="103">
        <f t="shared" si="45"/>
        <v>436.02</v>
      </c>
      <c r="H43" s="103">
        <f t="shared" si="45"/>
        <v>449.28000000000003</v>
      </c>
      <c r="I43" s="103">
        <f t="shared" si="45"/>
        <v>462.53999999999996</v>
      </c>
      <c r="J43" s="103">
        <f t="shared" si="45"/>
        <v>475.8</v>
      </c>
      <c r="K43" s="103">
        <f t="shared" si="45"/>
        <v>488.8</v>
      </c>
      <c r="L43" s="103">
        <f t="shared" si="45"/>
        <v>502.05999999999995</v>
      </c>
      <c r="M43" s="103">
        <f t="shared" si="45"/>
        <v>515.32000000000005</v>
      </c>
    </row>
    <row r="44" spans="1:13" x14ac:dyDescent="0.25">
      <c r="A44" s="96"/>
      <c r="B44" s="96"/>
      <c r="C44" s="105" t="s">
        <v>13</v>
      </c>
      <c r="D44" s="103">
        <f t="shared" ref="D44:M44" si="46">ROUND(D40/2756,2)</f>
        <v>15.25</v>
      </c>
      <c r="E44" s="103">
        <f t="shared" si="46"/>
        <v>15.76</v>
      </c>
      <c r="F44" s="103">
        <f t="shared" si="46"/>
        <v>16.260000000000002</v>
      </c>
      <c r="G44" s="103">
        <f t="shared" si="46"/>
        <v>16.77</v>
      </c>
      <c r="H44" s="103">
        <f t="shared" si="46"/>
        <v>17.28</v>
      </c>
      <c r="I44" s="103">
        <f t="shared" si="46"/>
        <v>17.79</v>
      </c>
      <c r="J44" s="103">
        <f t="shared" si="46"/>
        <v>18.3</v>
      </c>
      <c r="K44" s="103">
        <f t="shared" si="46"/>
        <v>18.8</v>
      </c>
      <c r="L44" s="103">
        <f t="shared" si="46"/>
        <v>19.309999999999999</v>
      </c>
      <c r="M44" s="103">
        <f t="shared" si="46"/>
        <v>19.82</v>
      </c>
    </row>
    <row r="45" spans="1:13" x14ac:dyDescent="0.25">
      <c r="A45" s="96" t="s">
        <v>18</v>
      </c>
      <c r="B45" s="104">
        <f>($G$3-53)*2</f>
        <v>14</v>
      </c>
      <c r="C45" s="105" t="s">
        <v>39</v>
      </c>
      <c r="D45" s="103">
        <f t="shared" ref="D45:M45" si="47">D46*$B$12</f>
        <v>320.32</v>
      </c>
      <c r="E45" s="103">
        <f t="shared" si="47"/>
        <v>330.96000000000004</v>
      </c>
      <c r="F45" s="103">
        <f t="shared" si="47"/>
        <v>341.46000000000004</v>
      </c>
      <c r="G45" s="103">
        <f t="shared" si="47"/>
        <v>352.24</v>
      </c>
      <c r="H45" s="103">
        <f t="shared" si="47"/>
        <v>362.88</v>
      </c>
      <c r="I45" s="103">
        <f t="shared" si="47"/>
        <v>373.66</v>
      </c>
      <c r="J45" s="103">
        <f t="shared" si="47"/>
        <v>384.3</v>
      </c>
      <c r="K45" s="103">
        <f t="shared" si="47"/>
        <v>394.8</v>
      </c>
      <c r="L45" s="103">
        <f t="shared" si="47"/>
        <v>405.58</v>
      </c>
      <c r="M45" s="103">
        <f t="shared" si="47"/>
        <v>416.22</v>
      </c>
    </row>
    <row r="46" spans="1:13" x14ac:dyDescent="0.25">
      <c r="A46" s="96"/>
      <c r="B46" s="96"/>
      <c r="C46" s="105" t="s">
        <v>14</v>
      </c>
      <c r="D46" s="100">
        <f t="shared" ref="D46:M46" si="48">IF(ROUND(D44*1.5,2)&lt;$G$149,ROUND(D44*1.5,2),IF($G$149&lt;D44,D44,$G$149))</f>
        <v>22.88</v>
      </c>
      <c r="E46" s="100">
        <f t="shared" si="48"/>
        <v>23.64</v>
      </c>
      <c r="F46" s="100">
        <f t="shared" si="48"/>
        <v>24.39</v>
      </c>
      <c r="G46" s="100">
        <f t="shared" si="48"/>
        <v>25.16</v>
      </c>
      <c r="H46" s="100">
        <f t="shared" si="48"/>
        <v>25.92</v>
      </c>
      <c r="I46" s="100">
        <f t="shared" si="48"/>
        <v>26.69</v>
      </c>
      <c r="J46" s="100">
        <f t="shared" si="48"/>
        <v>27.45</v>
      </c>
      <c r="K46" s="100">
        <f t="shared" si="48"/>
        <v>28.2</v>
      </c>
      <c r="L46" s="100">
        <f t="shared" si="48"/>
        <v>28.97</v>
      </c>
      <c r="M46" s="100">
        <f t="shared" si="48"/>
        <v>29.73</v>
      </c>
    </row>
    <row r="47" spans="1:13" x14ac:dyDescent="0.25">
      <c r="A47" s="106"/>
      <c r="B47" s="106"/>
      <c r="C47" s="101" t="s">
        <v>43</v>
      </c>
      <c r="D47" s="100">
        <f>(ROUND(D42*'Start Page'!$G$32,2)*80)+(ROUND(D44*'Start Page'!$G$32,2)*($B$15-80))</f>
        <v>0</v>
      </c>
      <c r="E47" s="100">
        <f>(ROUND(E42*'Start Page'!$G$32,2)*80)+(ROUND(E44*'Start Page'!$G$32,2)*($B$15-80))</f>
        <v>0</v>
      </c>
      <c r="F47" s="100">
        <f>(ROUND(F42*'Start Page'!$G$32,2)*80)+(ROUND(F44*'Start Page'!$G$32,2)*($B$15-80))</f>
        <v>0</v>
      </c>
      <c r="G47" s="100">
        <f>(ROUND(G42*'Start Page'!$G$32,2)*80)+(ROUND(G44*'Start Page'!$G$32,2)*($B$15-80))</f>
        <v>0</v>
      </c>
      <c r="H47" s="100">
        <f>(ROUND(H42*'Start Page'!$G$32,2)*80)+(ROUND(H44*'Start Page'!$G$32,2)*($B$15-80))</f>
        <v>0</v>
      </c>
      <c r="I47" s="100">
        <f>(ROUND(I42*'Start Page'!$G$32,2)*80)+(ROUND(I44*'Start Page'!$G$32,2)*($B$15-80))</f>
        <v>0</v>
      </c>
      <c r="J47" s="100">
        <f>(ROUND(J42*'Start Page'!$G$32,2)*80)+(ROUND(J44*'Start Page'!$G$32,2)*($B$15-80))</f>
        <v>0</v>
      </c>
      <c r="K47" s="100">
        <f>(ROUND(K42*'Start Page'!$G$32,2)*80)+(ROUND(K44*'Start Page'!$G$32,2)*($B$15-80))</f>
        <v>0</v>
      </c>
      <c r="L47" s="100">
        <f>(ROUND(L42*'Start Page'!$G$32,2)*80)+(ROUND(L44*'Start Page'!$G$32,2)*($B$15-80))</f>
        <v>0</v>
      </c>
      <c r="M47" s="100">
        <f>(ROUND(M42*'Start Page'!$G$32,2)*80)+(ROUND(M44*'Start Page'!$G$32,2)*($B$15-80))</f>
        <v>0</v>
      </c>
    </row>
    <row r="48" spans="1:13" x14ac:dyDescent="0.25">
      <c r="A48" s="96"/>
      <c r="B48" s="96">
        <f>B41+B43+B45</f>
        <v>120</v>
      </c>
      <c r="C48" s="113" t="s">
        <v>17</v>
      </c>
      <c r="D48" s="131">
        <f t="shared" ref="D48:M48" si="49">D41+D43+D45+D47</f>
        <v>2328.02</v>
      </c>
      <c r="E48" s="131">
        <f t="shared" si="49"/>
        <v>2405.52</v>
      </c>
      <c r="F48" s="131">
        <f t="shared" si="49"/>
        <v>2482.6200000000003</v>
      </c>
      <c r="G48" s="131">
        <f t="shared" si="49"/>
        <v>2560.2600000000002</v>
      </c>
      <c r="H48" s="131">
        <f t="shared" si="49"/>
        <v>2637.76</v>
      </c>
      <c r="I48" s="131">
        <f t="shared" si="49"/>
        <v>2715.3999999999996</v>
      </c>
      <c r="J48" s="131">
        <f t="shared" si="49"/>
        <v>2792.9</v>
      </c>
      <c r="K48" s="131">
        <f t="shared" si="49"/>
        <v>2870</v>
      </c>
      <c r="L48" s="131">
        <f t="shared" si="49"/>
        <v>2947.64</v>
      </c>
      <c r="M48" s="131">
        <f t="shared" si="49"/>
        <v>3025.1400000000003</v>
      </c>
    </row>
    <row r="49" spans="1:13" x14ac:dyDescent="0.25">
      <c r="A49" s="96"/>
      <c r="B49" s="96"/>
      <c r="C49" s="113" t="s">
        <v>33</v>
      </c>
      <c r="D49" s="131">
        <f>D48*26</f>
        <v>60528.52</v>
      </c>
      <c r="E49" s="131">
        <f t="shared" ref="E49" si="50">E48*26</f>
        <v>62543.519999999997</v>
      </c>
      <c r="F49" s="131">
        <f t="shared" ref="F49" si="51">F48*26</f>
        <v>64548.12000000001</v>
      </c>
      <c r="G49" s="131">
        <f t="shared" ref="G49" si="52">G48*26</f>
        <v>66566.760000000009</v>
      </c>
      <c r="H49" s="131">
        <f t="shared" ref="H49" si="53">H48*26</f>
        <v>68581.760000000009</v>
      </c>
      <c r="I49" s="131">
        <f t="shared" ref="I49" si="54">I48*26</f>
        <v>70600.399999999994</v>
      </c>
      <c r="J49" s="131">
        <f t="shared" ref="J49" si="55">J48*26</f>
        <v>72615.400000000009</v>
      </c>
      <c r="K49" s="131">
        <f t="shared" ref="K49" si="56">K48*26</f>
        <v>74620</v>
      </c>
      <c r="L49" s="131">
        <f t="shared" ref="L49" si="57">L48*26</f>
        <v>76638.64</v>
      </c>
      <c r="M49" s="131">
        <f t="shared" ref="M49" si="58">M48*26</f>
        <v>78653.640000000014</v>
      </c>
    </row>
    <row r="50" spans="1:13" s="129" customFormat="1" x14ac:dyDescent="0.25">
      <c r="A50" s="110"/>
      <c r="B50" s="110"/>
      <c r="C50" s="111" t="s">
        <v>66</v>
      </c>
      <c r="D50" s="132">
        <f>((D42*80)+(D44*($B$15-80)))*26</f>
        <v>57751.199999999997</v>
      </c>
      <c r="E50" s="132">
        <f t="shared" ref="E50:M50" si="59">((E42*80)+(E44*($B$15-80)))*26</f>
        <v>59675.199999999997</v>
      </c>
      <c r="F50" s="132">
        <f t="shared" si="59"/>
        <v>61588.800000000003</v>
      </c>
      <c r="G50" s="132">
        <f t="shared" si="59"/>
        <v>63512.800000000003</v>
      </c>
      <c r="H50" s="132">
        <f t="shared" si="59"/>
        <v>65436.800000000003</v>
      </c>
      <c r="I50" s="132">
        <f t="shared" si="59"/>
        <v>67360.799999999988</v>
      </c>
      <c r="J50" s="132">
        <f t="shared" si="59"/>
        <v>69284.800000000003</v>
      </c>
      <c r="K50" s="132">
        <f t="shared" si="59"/>
        <v>71198.399999999994</v>
      </c>
      <c r="L50" s="132">
        <f t="shared" si="59"/>
        <v>73122.400000000009</v>
      </c>
      <c r="M50" s="114">
        <f t="shared" si="59"/>
        <v>75046.400000000009</v>
      </c>
    </row>
    <row r="51" spans="1:13" x14ac:dyDescent="0.25">
      <c r="A51" s="94" t="s">
        <v>0</v>
      </c>
      <c r="B51" s="94" t="s">
        <v>40</v>
      </c>
      <c r="C51" s="94" t="s">
        <v>1</v>
      </c>
      <c r="D51" s="94" t="s">
        <v>2</v>
      </c>
      <c r="E51" s="94" t="s">
        <v>3</v>
      </c>
      <c r="F51" s="94" t="s">
        <v>4</v>
      </c>
      <c r="G51" s="94" t="s">
        <v>5</v>
      </c>
      <c r="H51" s="94" t="s">
        <v>6</v>
      </c>
      <c r="I51" s="94" t="s">
        <v>7</v>
      </c>
      <c r="J51" s="94" t="s">
        <v>8</v>
      </c>
      <c r="K51" s="94" t="s">
        <v>9</v>
      </c>
      <c r="L51" s="94" t="s">
        <v>10</v>
      </c>
      <c r="M51" s="94" t="s">
        <v>11</v>
      </c>
    </row>
    <row r="52" spans="1:13" x14ac:dyDescent="0.25">
      <c r="A52" s="95"/>
      <c r="B52" s="95"/>
      <c r="C52" s="126" t="s">
        <v>30</v>
      </c>
      <c r="D52" s="102">
        <f>'GS Pay Scale'!B13</f>
        <v>46696</v>
      </c>
      <c r="E52" s="102">
        <f>'GS Pay Scale'!C13</f>
        <v>48252</v>
      </c>
      <c r="F52" s="102">
        <f>'GS Pay Scale'!D13</f>
        <v>49808</v>
      </c>
      <c r="G52" s="102">
        <f>'GS Pay Scale'!E13</f>
        <v>51365</v>
      </c>
      <c r="H52" s="102">
        <f>'GS Pay Scale'!F13</f>
        <v>52921</v>
      </c>
      <c r="I52" s="102">
        <f>'GS Pay Scale'!G13</f>
        <v>54478</v>
      </c>
      <c r="J52" s="102">
        <f>'GS Pay Scale'!H13</f>
        <v>56034</v>
      </c>
      <c r="K52" s="102">
        <f>'GS Pay Scale'!I13</f>
        <v>57591</v>
      </c>
      <c r="L52" s="102">
        <f>'GS Pay Scale'!J13</f>
        <v>59147</v>
      </c>
      <c r="M52" s="102">
        <f>'GS Pay Scale'!K13</f>
        <v>60703</v>
      </c>
    </row>
    <row r="53" spans="1:13" x14ac:dyDescent="0.25">
      <c r="A53" s="96"/>
      <c r="B53" s="96">
        <v>80</v>
      </c>
      <c r="C53" s="101" t="s">
        <v>41</v>
      </c>
      <c r="D53" s="102">
        <f t="shared" ref="D53:M53" si="60">D54*80</f>
        <v>1789.6000000000001</v>
      </c>
      <c r="E53" s="102">
        <f t="shared" si="60"/>
        <v>1849.6000000000001</v>
      </c>
      <c r="F53" s="102">
        <f t="shared" si="60"/>
        <v>1909.6000000000001</v>
      </c>
      <c r="G53" s="102">
        <f t="shared" si="60"/>
        <v>1968.8</v>
      </c>
      <c r="H53" s="102">
        <f t="shared" si="60"/>
        <v>2028.8</v>
      </c>
      <c r="I53" s="102">
        <f t="shared" si="60"/>
        <v>2088</v>
      </c>
      <c r="J53" s="102">
        <f t="shared" si="60"/>
        <v>2148</v>
      </c>
      <c r="K53" s="102">
        <f t="shared" si="60"/>
        <v>2208</v>
      </c>
      <c r="L53" s="102">
        <f t="shared" si="60"/>
        <v>2267.1999999999998</v>
      </c>
      <c r="M53" s="102">
        <f t="shared" si="60"/>
        <v>2327.1999999999998</v>
      </c>
    </row>
    <row r="54" spans="1:13" x14ac:dyDescent="0.25">
      <c r="A54" s="96"/>
      <c r="B54" s="96"/>
      <c r="C54" s="101" t="s">
        <v>20</v>
      </c>
      <c r="D54" s="103">
        <f>ROUND(D52/2087,2)</f>
        <v>22.37</v>
      </c>
      <c r="E54" s="103">
        <f t="shared" ref="E54:M54" si="61">ROUND(E52/2087,2)</f>
        <v>23.12</v>
      </c>
      <c r="F54" s="103">
        <f t="shared" si="61"/>
        <v>23.87</v>
      </c>
      <c r="G54" s="103">
        <f t="shared" si="61"/>
        <v>24.61</v>
      </c>
      <c r="H54" s="103">
        <f t="shared" si="61"/>
        <v>25.36</v>
      </c>
      <c r="I54" s="103">
        <f t="shared" si="61"/>
        <v>26.1</v>
      </c>
      <c r="J54" s="103">
        <f t="shared" si="61"/>
        <v>26.85</v>
      </c>
      <c r="K54" s="103">
        <f t="shared" si="61"/>
        <v>27.6</v>
      </c>
      <c r="L54" s="103">
        <f t="shared" si="61"/>
        <v>28.34</v>
      </c>
      <c r="M54" s="103">
        <f t="shared" si="61"/>
        <v>29.09</v>
      </c>
    </row>
    <row r="55" spans="1:13" x14ac:dyDescent="0.25">
      <c r="A55" s="96"/>
      <c r="B55" s="96">
        <v>26</v>
      </c>
      <c r="C55" s="105" t="s">
        <v>38</v>
      </c>
      <c r="D55" s="103">
        <f t="shared" ref="D55:M55" si="62">D56*26</f>
        <v>440.44000000000005</v>
      </c>
      <c r="E55" s="103">
        <f t="shared" si="62"/>
        <v>455.26000000000005</v>
      </c>
      <c r="F55" s="103">
        <f t="shared" si="62"/>
        <v>469.82</v>
      </c>
      <c r="G55" s="103">
        <f t="shared" si="62"/>
        <v>484.64</v>
      </c>
      <c r="H55" s="103">
        <f t="shared" si="62"/>
        <v>499.2</v>
      </c>
      <c r="I55" s="103">
        <f t="shared" si="62"/>
        <v>514.02</v>
      </c>
      <c r="J55" s="103">
        <f t="shared" si="62"/>
        <v>528.57999999999993</v>
      </c>
      <c r="K55" s="103">
        <f t="shared" si="62"/>
        <v>543.4</v>
      </c>
      <c r="L55" s="103">
        <f t="shared" si="62"/>
        <v>557.96</v>
      </c>
      <c r="M55" s="103">
        <f t="shared" si="62"/>
        <v>572.78</v>
      </c>
    </row>
    <row r="56" spans="1:13" x14ac:dyDescent="0.25">
      <c r="A56" s="96"/>
      <c r="B56" s="96"/>
      <c r="C56" s="105" t="s">
        <v>13</v>
      </c>
      <c r="D56" s="103">
        <f>ROUND(D52/2756,2)</f>
        <v>16.940000000000001</v>
      </c>
      <c r="E56" s="103">
        <f t="shared" ref="E56:M56" si="63">ROUND(E52/2756,2)</f>
        <v>17.510000000000002</v>
      </c>
      <c r="F56" s="103">
        <f t="shared" si="63"/>
        <v>18.07</v>
      </c>
      <c r="G56" s="103">
        <f t="shared" si="63"/>
        <v>18.64</v>
      </c>
      <c r="H56" s="103">
        <f t="shared" si="63"/>
        <v>19.2</v>
      </c>
      <c r="I56" s="103">
        <f t="shared" si="63"/>
        <v>19.77</v>
      </c>
      <c r="J56" s="103">
        <f t="shared" si="63"/>
        <v>20.329999999999998</v>
      </c>
      <c r="K56" s="103">
        <f t="shared" si="63"/>
        <v>20.9</v>
      </c>
      <c r="L56" s="103">
        <f t="shared" si="63"/>
        <v>21.46</v>
      </c>
      <c r="M56" s="103">
        <f t="shared" si="63"/>
        <v>22.03</v>
      </c>
    </row>
    <row r="57" spans="1:13" x14ac:dyDescent="0.25">
      <c r="A57" s="96" t="s">
        <v>12</v>
      </c>
      <c r="B57" s="104">
        <f>($G$3-53)*2</f>
        <v>14</v>
      </c>
      <c r="C57" s="105" t="s">
        <v>39</v>
      </c>
      <c r="D57" s="103">
        <f t="shared" ref="D57:M57" si="64">D58*$B$12</f>
        <v>355.74</v>
      </c>
      <c r="E57" s="103">
        <f t="shared" si="64"/>
        <v>367.78</v>
      </c>
      <c r="F57" s="103">
        <f t="shared" si="64"/>
        <v>379.53999999999996</v>
      </c>
      <c r="G57" s="103">
        <f t="shared" si="64"/>
        <v>391.44</v>
      </c>
      <c r="H57" s="103">
        <f t="shared" si="64"/>
        <v>403.2</v>
      </c>
      <c r="I57" s="103">
        <f t="shared" si="64"/>
        <v>415.24</v>
      </c>
      <c r="J57" s="103">
        <f t="shared" si="64"/>
        <v>427</v>
      </c>
      <c r="K57" s="103">
        <f t="shared" si="64"/>
        <v>438.90000000000003</v>
      </c>
      <c r="L57" s="103">
        <f t="shared" si="64"/>
        <v>450.65999999999997</v>
      </c>
      <c r="M57" s="103">
        <f t="shared" si="64"/>
        <v>462.69999999999993</v>
      </c>
    </row>
    <row r="58" spans="1:13" x14ac:dyDescent="0.25">
      <c r="A58" s="96"/>
      <c r="B58" s="96"/>
      <c r="C58" s="105" t="s">
        <v>14</v>
      </c>
      <c r="D58" s="100">
        <f>IF(ROUND(D56*1.5,2)&lt;$G$149,ROUND(D56*1.5,2),IF($G$149&lt;D56,D56,$G$149))</f>
        <v>25.41</v>
      </c>
      <c r="E58" s="100">
        <f t="shared" ref="E58:M58" si="65">IF(ROUND(E56*1.5,2)&lt;$G$149,ROUND(E56*1.5,2),IF($G$149&lt;E56,E56,$G$149))</f>
        <v>26.27</v>
      </c>
      <c r="F58" s="100">
        <f t="shared" si="65"/>
        <v>27.11</v>
      </c>
      <c r="G58" s="100">
        <f t="shared" si="65"/>
        <v>27.96</v>
      </c>
      <c r="H58" s="100">
        <f t="shared" si="65"/>
        <v>28.8</v>
      </c>
      <c r="I58" s="100">
        <f t="shared" si="65"/>
        <v>29.66</v>
      </c>
      <c r="J58" s="100">
        <f t="shared" si="65"/>
        <v>30.5</v>
      </c>
      <c r="K58" s="100">
        <f t="shared" si="65"/>
        <v>31.35</v>
      </c>
      <c r="L58" s="100">
        <f t="shared" si="65"/>
        <v>32.19</v>
      </c>
      <c r="M58" s="100">
        <f t="shared" si="65"/>
        <v>33.049999999999997</v>
      </c>
    </row>
    <row r="59" spans="1:13" x14ac:dyDescent="0.25">
      <c r="A59" s="106"/>
      <c r="B59" s="106"/>
      <c r="C59" s="101" t="s">
        <v>43</v>
      </c>
      <c r="D59" s="100">
        <f>(ROUND(D54*'Start Page'!$G$32,2)*80)+(ROUND(D56*'Start Page'!$G$32,2)*($B$15-80))</f>
        <v>0</v>
      </c>
      <c r="E59" s="100">
        <f>(ROUND(E54*'Start Page'!$G$32,2)*80)+(ROUND(E56*'Start Page'!$G$32,2)*($B$15-80))</f>
        <v>0</v>
      </c>
      <c r="F59" s="100">
        <f>(ROUND(F54*'Start Page'!$G$32,2)*80)+(ROUND(F56*'Start Page'!$G$32,2)*($B$15-80))</f>
        <v>0</v>
      </c>
      <c r="G59" s="100">
        <f>(ROUND(G54*'Start Page'!$G$32,2)*80)+(ROUND(G56*'Start Page'!$G$32,2)*($B$15-80))</f>
        <v>0</v>
      </c>
      <c r="H59" s="100">
        <f>(ROUND(H54*'Start Page'!$G$32,2)*80)+(ROUND(H56*'Start Page'!$G$32,2)*($B$15-80))</f>
        <v>0</v>
      </c>
      <c r="I59" s="100">
        <f>(ROUND(I54*'Start Page'!$G$32,2)*80)+(ROUND(I56*'Start Page'!$G$32,2)*($B$15-80))</f>
        <v>0</v>
      </c>
      <c r="J59" s="100">
        <f>(ROUND(J54*'Start Page'!$G$32,2)*80)+(ROUND(J56*'Start Page'!$G$32,2)*($B$15-80))</f>
        <v>0</v>
      </c>
      <c r="K59" s="100">
        <f>(ROUND(K54*'Start Page'!$G$32,2)*80)+(ROUND(K56*'Start Page'!$G$32,2)*($B$15-80))</f>
        <v>0</v>
      </c>
      <c r="L59" s="100">
        <f>(ROUND(L54*'Start Page'!$G$32,2)*80)+(ROUND(L56*'Start Page'!$G$32,2)*($B$15-80))</f>
        <v>0</v>
      </c>
      <c r="M59" s="100">
        <f>(ROUND(M54*'Start Page'!$G$32,2)*80)+(ROUND(M56*'Start Page'!$G$32,2)*($B$15-80))</f>
        <v>0</v>
      </c>
    </row>
    <row r="60" spans="1:13" x14ac:dyDescent="0.25">
      <c r="A60" s="96"/>
      <c r="B60" s="96">
        <f>B53+B55+B57</f>
        <v>120</v>
      </c>
      <c r="C60" s="113" t="s">
        <v>17</v>
      </c>
      <c r="D60" s="131">
        <f t="shared" ref="D60:M60" si="66">D53+D55+D57+D59</f>
        <v>2585.7799999999997</v>
      </c>
      <c r="E60" s="131">
        <f t="shared" si="66"/>
        <v>2672.6400000000003</v>
      </c>
      <c r="F60" s="131">
        <f t="shared" si="66"/>
        <v>2758.96</v>
      </c>
      <c r="G60" s="131">
        <f t="shared" si="66"/>
        <v>2844.88</v>
      </c>
      <c r="H60" s="131">
        <f t="shared" si="66"/>
        <v>2931.2</v>
      </c>
      <c r="I60" s="131">
        <f t="shared" si="66"/>
        <v>3017.26</v>
      </c>
      <c r="J60" s="131">
        <f t="shared" si="66"/>
        <v>3103.58</v>
      </c>
      <c r="K60" s="131">
        <f t="shared" si="66"/>
        <v>3190.3</v>
      </c>
      <c r="L60" s="131">
        <f t="shared" si="66"/>
        <v>3275.8199999999997</v>
      </c>
      <c r="M60" s="131">
        <f t="shared" si="66"/>
        <v>3362.6799999999994</v>
      </c>
    </row>
    <row r="61" spans="1:13" x14ac:dyDescent="0.25">
      <c r="A61" s="96"/>
      <c r="B61" s="96"/>
      <c r="C61" s="113" t="s">
        <v>33</v>
      </c>
      <c r="D61" s="131">
        <f>D60*26</f>
        <v>67230.28</v>
      </c>
      <c r="E61" s="131">
        <f t="shared" ref="E61" si="67">E60*26</f>
        <v>69488.640000000014</v>
      </c>
      <c r="F61" s="131">
        <f t="shared" ref="F61" si="68">F60*26</f>
        <v>71732.960000000006</v>
      </c>
      <c r="G61" s="131">
        <f t="shared" ref="G61" si="69">G60*26</f>
        <v>73966.880000000005</v>
      </c>
      <c r="H61" s="131">
        <f t="shared" ref="H61" si="70">H60*26</f>
        <v>76211.199999999997</v>
      </c>
      <c r="I61" s="131">
        <f t="shared" ref="I61" si="71">I60*26</f>
        <v>78448.760000000009</v>
      </c>
      <c r="J61" s="131">
        <f t="shared" ref="J61" si="72">J60*26</f>
        <v>80693.08</v>
      </c>
      <c r="K61" s="131">
        <f t="shared" ref="K61" si="73">K60*26</f>
        <v>82947.8</v>
      </c>
      <c r="L61" s="131">
        <f t="shared" ref="L61" si="74">L60*26</f>
        <v>85171.319999999992</v>
      </c>
      <c r="M61" s="131">
        <f t="shared" ref="M61" si="75">M60*26</f>
        <v>87429.679999999978</v>
      </c>
    </row>
    <row r="62" spans="1:13" s="129" customFormat="1" x14ac:dyDescent="0.25">
      <c r="A62" s="110"/>
      <c r="B62" s="110"/>
      <c r="C62" s="111" t="s">
        <v>66</v>
      </c>
      <c r="D62" s="132">
        <f>((D54*80)+(D56*($B$15-80)))*26</f>
        <v>64147.200000000004</v>
      </c>
      <c r="E62" s="132">
        <f t="shared" ref="E62:M62" si="76">((E54*80)+(E56*($B$15-80)))*26</f>
        <v>66300</v>
      </c>
      <c r="F62" s="132">
        <f t="shared" si="76"/>
        <v>68442.400000000009</v>
      </c>
      <c r="G62" s="132">
        <f t="shared" si="76"/>
        <v>70574.400000000009</v>
      </c>
      <c r="H62" s="132">
        <f t="shared" si="76"/>
        <v>72716.800000000003</v>
      </c>
      <c r="I62" s="132">
        <f t="shared" si="76"/>
        <v>74848.800000000003</v>
      </c>
      <c r="J62" s="132">
        <f t="shared" si="76"/>
        <v>76991.199999999997</v>
      </c>
      <c r="K62" s="132">
        <f t="shared" si="76"/>
        <v>79144</v>
      </c>
      <c r="L62" s="132">
        <f t="shared" si="76"/>
        <v>81265.599999999991</v>
      </c>
      <c r="M62" s="114">
        <f t="shared" si="76"/>
        <v>83418.399999999994</v>
      </c>
    </row>
    <row r="63" spans="1:13" x14ac:dyDescent="0.25">
      <c r="A63" s="95"/>
      <c r="B63" s="95"/>
      <c r="C63" s="126" t="s">
        <v>30</v>
      </c>
      <c r="D63" s="102">
        <f>'GS Pay Scale'!B14</f>
        <v>51713</v>
      </c>
      <c r="E63" s="102">
        <f>'GS Pay Scale'!C14</f>
        <v>53437</v>
      </c>
      <c r="F63" s="102">
        <f>'GS Pay Scale'!D14</f>
        <v>55162</v>
      </c>
      <c r="G63" s="102">
        <f>'GS Pay Scale'!E14</f>
        <v>56886</v>
      </c>
      <c r="H63" s="102">
        <f>'GS Pay Scale'!F14</f>
        <v>58610</v>
      </c>
      <c r="I63" s="102">
        <f>'GS Pay Scale'!G14</f>
        <v>60334</v>
      </c>
      <c r="J63" s="102">
        <f>'GS Pay Scale'!H14</f>
        <v>62058</v>
      </c>
      <c r="K63" s="102">
        <f>'GS Pay Scale'!I14</f>
        <v>63783</v>
      </c>
      <c r="L63" s="102">
        <f>'GS Pay Scale'!J14</f>
        <v>65507</v>
      </c>
      <c r="M63" s="102">
        <f>'GS Pay Scale'!K14</f>
        <v>67231</v>
      </c>
    </row>
    <row r="64" spans="1:13" x14ac:dyDescent="0.25">
      <c r="A64" s="96"/>
      <c r="B64" s="96">
        <v>80</v>
      </c>
      <c r="C64" s="101" t="s">
        <v>41</v>
      </c>
      <c r="D64" s="102">
        <f t="shared" ref="D64:M64" si="77">D65*80</f>
        <v>1982.4</v>
      </c>
      <c r="E64" s="102">
        <f t="shared" si="77"/>
        <v>2048</v>
      </c>
      <c r="F64" s="102">
        <f t="shared" si="77"/>
        <v>2114.4</v>
      </c>
      <c r="G64" s="102">
        <f t="shared" si="77"/>
        <v>2180.8000000000002</v>
      </c>
      <c r="H64" s="102">
        <f t="shared" si="77"/>
        <v>2246.3999999999996</v>
      </c>
      <c r="I64" s="102">
        <f t="shared" si="77"/>
        <v>2312.8000000000002</v>
      </c>
      <c r="J64" s="102">
        <f t="shared" si="77"/>
        <v>2379.1999999999998</v>
      </c>
      <c r="K64" s="102">
        <f t="shared" si="77"/>
        <v>2444.7999999999997</v>
      </c>
      <c r="L64" s="102">
        <f t="shared" si="77"/>
        <v>2511.1999999999998</v>
      </c>
      <c r="M64" s="102">
        <f t="shared" si="77"/>
        <v>2576.8000000000002</v>
      </c>
    </row>
    <row r="65" spans="1:13" x14ac:dyDescent="0.25">
      <c r="A65" s="96"/>
      <c r="B65" s="96"/>
      <c r="C65" s="101" t="s">
        <v>20</v>
      </c>
      <c r="D65" s="103">
        <f t="shared" ref="D65:M65" si="78">ROUND(D63/2087,2)</f>
        <v>24.78</v>
      </c>
      <c r="E65" s="103">
        <f t="shared" si="78"/>
        <v>25.6</v>
      </c>
      <c r="F65" s="103">
        <f t="shared" si="78"/>
        <v>26.43</v>
      </c>
      <c r="G65" s="103">
        <f t="shared" si="78"/>
        <v>27.26</v>
      </c>
      <c r="H65" s="103">
        <f t="shared" si="78"/>
        <v>28.08</v>
      </c>
      <c r="I65" s="103">
        <f t="shared" si="78"/>
        <v>28.91</v>
      </c>
      <c r="J65" s="103">
        <f t="shared" si="78"/>
        <v>29.74</v>
      </c>
      <c r="K65" s="103">
        <f t="shared" si="78"/>
        <v>30.56</v>
      </c>
      <c r="L65" s="103">
        <f t="shared" si="78"/>
        <v>31.39</v>
      </c>
      <c r="M65" s="103">
        <f t="shared" si="78"/>
        <v>32.21</v>
      </c>
    </row>
    <row r="66" spans="1:13" x14ac:dyDescent="0.25">
      <c r="A66" s="96"/>
      <c r="B66" s="96">
        <v>26</v>
      </c>
      <c r="C66" s="105" t="s">
        <v>38</v>
      </c>
      <c r="D66" s="103">
        <f t="shared" ref="D66:M66" si="79">D67*26</f>
        <v>487.76000000000005</v>
      </c>
      <c r="E66" s="103">
        <f t="shared" si="79"/>
        <v>504.14</v>
      </c>
      <c r="F66" s="103">
        <f t="shared" si="79"/>
        <v>520.52</v>
      </c>
      <c r="G66" s="103">
        <f t="shared" si="79"/>
        <v>536.64</v>
      </c>
      <c r="H66" s="103">
        <f t="shared" si="79"/>
        <v>553.02</v>
      </c>
      <c r="I66" s="103">
        <f t="shared" si="79"/>
        <v>569.14</v>
      </c>
      <c r="J66" s="103">
        <f t="shared" si="79"/>
        <v>585.52</v>
      </c>
      <c r="K66" s="103">
        <f t="shared" si="79"/>
        <v>601.64</v>
      </c>
      <c r="L66" s="103">
        <f t="shared" si="79"/>
        <v>618.02</v>
      </c>
      <c r="M66" s="103">
        <f t="shared" si="79"/>
        <v>634.14</v>
      </c>
    </row>
    <row r="67" spans="1:13" x14ac:dyDescent="0.25">
      <c r="A67" s="96"/>
      <c r="B67" s="96"/>
      <c r="C67" s="105" t="s">
        <v>13</v>
      </c>
      <c r="D67" s="103">
        <f t="shared" ref="D67:M67" si="80">ROUND(D63/2756,2)</f>
        <v>18.760000000000002</v>
      </c>
      <c r="E67" s="103">
        <f t="shared" si="80"/>
        <v>19.39</v>
      </c>
      <c r="F67" s="103">
        <f t="shared" si="80"/>
        <v>20.02</v>
      </c>
      <c r="G67" s="103">
        <f t="shared" si="80"/>
        <v>20.64</v>
      </c>
      <c r="H67" s="103">
        <f t="shared" si="80"/>
        <v>21.27</v>
      </c>
      <c r="I67" s="103">
        <f t="shared" si="80"/>
        <v>21.89</v>
      </c>
      <c r="J67" s="103">
        <f t="shared" si="80"/>
        <v>22.52</v>
      </c>
      <c r="K67" s="103">
        <f t="shared" si="80"/>
        <v>23.14</v>
      </c>
      <c r="L67" s="103">
        <f t="shared" si="80"/>
        <v>23.77</v>
      </c>
      <c r="M67" s="103">
        <f t="shared" si="80"/>
        <v>24.39</v>
      </c>
    </row>
    <row r="68" spans="1:13" x14ac:dyDescent="0.25">
      <c r="A68" s="96" t="s">
        <v>15</v>
      </c>
      <c r="B68" s="104">
        <f>($G$3-53)*2</f>
        <v>14</v>
      </c>
      <c r="C68" s="105" t="s">
        <v>39</v>
      </c>
      <c r="D68" s="103">
        <f t="shared" ref="D68:M68" si="81">D69*$B$12</f>
        <v>393.96000000000004</v>
      </c>
      <c r="E68" s="103">
        <f t="shared" si="81"/>
        <v>407.26</v>
      </c>
      <c r="F68" s="103">
        <f t="shared" si="81"/>
        <v>420.42</v>
      </c>
      <c r="G68" s="103">
        <f t="shared" si="81"/>
        <v>433.44</v>
      </c>
      <c r="H68" s="103">
        <f t="shared" si="81"/>
        <v>446.74</v>
      </c>
      <c r="I68" s="103">
        <f t="shared" si="81"/>
        <v>459.76000000000005</v>
      </c>
      <c r="J68" s="103">
        <f t="shared" si="81"/>
        <v>472.92</v>
      </c>
      <c r="K68" s="103">
        <f t="shared" si="81"/>
        <v>485.94</v>
      </c>
      <c r="L68" s="103">
        <f t="shared" si="81"/>
        <v>499.23999999999995</v>
      </c>
      <c r="M68" s="103">
        <f t="shared" si="81"/>
        <v>512.26</v>
      </c>
    </row>
    <row r="69" spans="1:13" x14ac:dyDescent="0.25">
      <c r="A69" s="96"/>
      <c r="B69" s="96"/>
      <c r="C69" s="105" t="s">
        <v>14</v>
      </c>
      <c r="D69" s="100">
        <f t="shared" ref="D69:M69" si="82">IF(ROUND(D67*1.5,2)&lt;$G$149,ROUND(D67*1.5,2),IF($G$149&lt;D67,D67,$G$149))</f>
        <v>28.14</v>
      </c>
      <c r="E69" s="100">
        <f t="shared" si="82"/>
        <v>29.09</v>
      </c>
      <c r="F69" s="100">
        <f t="shared" si="82"/>
        <v>30.03</v>
      </c>
      <c r="G69" s="100">
        <f t="shared" si="82"/>
        <v>30.96</v>
      </c>
      <c r="H69" s="100">
        <f t="shared" si="82"/>
        <v>31.91</v>
      </c>
      <c r="I69" s="100">
        <f t="shared" si="82"/>
        <v>32.840000000000003</v>
      </c>
      <c r="J69" s="100">
        <f t="shared" si="82"/>
        <v>33.78</v>
      </c>
      <c r="K69" s="100">
        <f t="shared" si="82"/>
        <v>34.71</v>
      </c>
      <c r="L69" s="100">
        <f t="shared" si="82"/>
        <v>35.659999999999997</v>
      </c>
      <c r="M69" s="100">
        <f t="shared" si="82"/>
        <v>36.590000000000003</v>
      </c>
    </row>
    <row r="70" spans="1:13" x14ac:dyDescent="0.25">
      <c r="A70" s="106"/>
      <c r="B70" s="106"/>
      <c r="C70" s="101" t="s">
        <v>43</v>
      </c>
      <c r="D70" s="100">
        <f>(ROUND(D65*'Start Page'!$G$32,2)*80)+(ROUND(D67*'Start Page'!$G$32,2)*($B$15-80))</f>
        <v>0</v>
      </c>
      <c r="E70" s="100">
        <f>(ROUND(E65*'Start Page'!$G$32,2)*80)+(ROUND(E67*'Start Page'!$G$32,2)*($B$15-80))</f>
        <v>0</v>
      </c>
      <c r="F70" s="100">
        <f>(ROUND(F65*'Start Page'!$G$32,2)*80)+(ROUND(F67*'Start Page'!$G$32,2)*($B$15-80))</f>
        <v>0</v>
      </c>
      <c r="G70" s="100">
        <f>(ROUND(G65*'Start Page'!$G$32,2)*80)+(ROUND(G67*'Start Page'!$G$32,2)*($B$15-80))</f>
        <v>0</v>
      </c>
      <c r="H70" s="100">
        <f>(ROUND(H65*'Start Page'!$G$32,2)*80)+(ROUND(H67*'Start Page'!$G$32,2)*($B$15-80))</f>
        <v>0</v>
      </c>
      <c r="I70" s="100">
        <f>(ROUND(I65*'Start Page'!$G$32,2)*80)+(ROUND(I67*'Start Page'!$G$32,2)*($B$15-80))</f>
        <v>0</v>
      </c>
      <c r="J70" s="100">
        <f>(ROUND(J65*'Start Page'!$G$32,2)*80)+(ROUND(J67*'Start Page'!$G$32,2)*($B$15-80))</f>
        <v>0</v>
      </c>
      <c r="K70" s="100">
        <f>(ROUND(K65*'Start Page'!$G$32,2)*80)+(ROUND(K67*'Start Page'!$G$32,2)*($B$15-80))</f>
        <v>0</v>
      </c>
      <c r="L70" s="100">
        <f>(ROUND(L65*'Start Page'!$G$32,2)*80)+(ROUND(L67*'Start Page'!$G$32,2)*($B$15-80))</f>
        <v>0</v>
      </c>
      <c r="M70" s="100">
        <f>(ROUND(M65*'Start Page'!$G$32,2)*80)+(ROUND(M67*'Start Page'!$G$32,2)*($B$15-80))</f>
        <v>0</v>
      </c>
    </row>
    <row r="71" spans="1:13" x14ac:dyDescent="0.25">
      <c r="A71" s="96"/>
      <c r="B71" s="96">
        <f>B64+B66+B68</f>
        <v>120</v>
      </c>
      <c r="C71" s="113" t="s">
        <v>17</v>
      </c>
      <c r="D71" s="131">
        <f t="shared" ref="D71:M71" si="83">D64+D66+D68+D70</f>
        <v>2864.1200000000003</v>
      </c>
      <c r="E71" s="131">
        <f t="shared" si="83"/>
        <v>2959.3999999999996</v>
      </c>
      <c r="F71" s="131">
        <f t="shared" si="83"/>
        <v>3055.34</v>
      </c>
      <c r="G71" s="131">
        <f t="shared" si="83"/>
        <v>3150.88</v>
      </c>
      <c r="H71" s="131">
        <f t="shared" si="83"/>
        <v>3246.16</v>
      </c>
      <c r="I71" s="131">
        <f t="shared" si="83"/>
        <v>3341.7000000000003</v>
      </c>
      <c r="J71" s="131">
        <f t="shared" si="83"/>
        <v>3437.64</v>
      </c>
      <c r="K71" s="131">
        <f t="shared" si="83"/>
        <v>3532.3799999999997</v>
      </c>
      <c r="L71" s="131">
        <f t="shared" si="83"/>
        <v>3628.4599999999996</v>
      </c>
      <c r="M71" s="131">
        <f t="shared" si="83"/>
        <v>3723.2</v>
      </c>
    </row>
    <row r="72" spans="1:13" x14ac:dyDescent="0.25">
      <c r="A72" s="96"/>
      <c r="B72" s="96"/>
      <c r="C72" s="113" t="s">
        <v>33</v>
      </c>
      <c r="D72" s="131">
        <f>D71*26</f>
        <v>74467.12000000001</v>
      </c>
      <c r="E72" s="131">
        <f t="shared" ref="E72" si="84">E71*26</f>
        <v>76944.399999999994</v>
      </c>
      <c r="F72" s="131">
        <f t="shared" ref="F72" si="85">F71*26</f>
        <v>79438.84</v>
      </c>
      <c r="G72" s="131">
        <f t="shared" ref="G72" si="86">G71*26</f>
        <v>81922.880000000005</v>
      </c>
      <c r="H72" s="131">
        <f t="shared" ref="H72" si="87">H71*26</f>
        <v>84400.16</v>
      </c>
      <c r="I72" s="131">
        <f t="shared" ref="I72" si="88">I71*26</f>
        <v>86884.200000000012</v>
      </c>
      <c r="J72" s="131">
        <f t="shared" ref="J72" si="89">J71*26</f>
        <v>89378.64</v>
      </c>
      <c r="K72" s="131">
        <f t="shared" ref="K72" si="90">K71*26</f>
        <v>91841.87999999999</v>
      </c>
      <c r="L72" s="131">
        <f t="shared" ref="L72" si="91">L71*26</f>
        <v>94339.959999999992</v>
      </c>
      <c r="M72" s="131">
        <f t="shared" ref="M72" si="92">M71*26</f>
        <v>96803.199999999997</v>
      </c>
    </row>
    <row r="73" spans="1:13" s="129" customFormat="1" x14ac:dyDescent="0.25">
      <c r="A73" s="110"/>
      <c r="B73" s="110"/>
      <c r="C73" s="111" t="s">
        <v>66</v>
      </c>
      <c r="D73" s="132">
        <f>((D65*80)+(D67*($B$15-80)))*26</f>
        <v>71052.800000000003</v>
      </c>
      <c r="E73" s="132">
        <f t="shared" ref="E73:M73" si="93">((E65*80)+(E67*($B$15-80)))*26</f>
        <v>73413.599999999991</v>
      </c>
      <c r="F73" s="132">
        <f t="shared" si="93"/>
        <v>75795.199999999997</v>
      </c>
      <c r="G73" s="132">
        <f t="shared" si="93"/>
        <v>78166.400000000009</v>
      </c>
      <c r="H73" s="132">
        <f t="shared" si="93"/>
        <v>80527.199999999997</v>
      </c>
      <c r="I73" s="132">
        <f t="shared" si="93"/>
        <v>82898.400000000009</v>
      </c>
      <c r="J73" s="132">
        <f t="shared" si="93"/>
        <v>85280</v>
      </c>
      <c r="K73" s="132">
        <f t="shared" si="93"/>
        <v>87630.399999999994</v>
      </c>
      <c r="L73" s="132">
        <f t="shared" si="93"/>
        <v>90012</v>
      </c>
      <c r="M73" s="114">
        <f t="shared" si="93"/>
        <v>92362.400000000009</v>
      </c>
    </row>
    <row r="74" spans="1:13" x14ac:dyDescent="0.25">
      <c r="A74" s="95"/>
      <c r="B74" s="95"/>
      <c r="C74" s="126" t="s">
        <v>30</v>
      </c>
      <c r="D74" s="102">
        <f>'GS Pay Scale'!B15</f>
        <v>57118</v>
      </c>
      <c r="E74" s="102">
        <f>'GS Pay Scale'!C15</f>
        <v>59021</v>
      </c>
      <c r="F74" s="102">
        <f>'GS Pay Scale'!D15</f>
        <v>60925</v>
      </c>
      <c r="G74" s="102">
        <f>'GS Pay Scale'!E15</f>
        <v>62828</v>
      </c>
      <c r="H74" s="102">
        <f>'GS Pay Scale'!F15</f>
        <v>64732</v>
      </c>
      <c r="I74" s="102">
        <f>'GS Pay Scale'!G15</f>
        <v>66636</v>
      </c>
      <c r="J74" s="102">
        <f>'GS Pay Scale'!H15</f>
        <v>68539</v>
      </c>
      <c r="K74" s="102">
        <f>'GS Pay Scale'!I15</f>
        <v>70443</v>
      </c>
      <c r="L74" s="102">
        <f>'GS Pay Scale'!J15</f>
        <v>72347</v>
      </c>
      <c r="M74" s="102">
        <f>'GS Pay Scale'!K15</f>
        <v>74250</v>
      </c>
    </row>
    <row r="75" spans="1:13" x14ac:dyDescent="0.25">
      <c r="A75" s="96"/>
      <c r="B75" s="96">
        <v>80</v>
      </c>
      <c r="C75" s="101" t="s">
        <v>41</v>
      </c>
      <c r="D75" s="102">
        <f t="shared" ref="D75:M75" si="94">D76*80</f>
        <v>2189.6</v>
      </c>
      <c r="E75" s="102">
        <f t="shared" si="94"/>
        <v>2262.4</v>
      </c>
      <c r="F75" s="102">
        <f t="shared" si="94"/>
        <v>2335.2000000000003</v>
      </c>
      <c r="G75" s="102">
        <f t="shared" si="94"/>
        <v>2408</v>
      </c>
      <c r="H75" s="102">
        <f t="shared" si="94"/>
        <v>2481.6</v>
      </c>
      <c r="I75" s="102">
        <f t="shared" si="94"/>
        <v>2554.4</v>
      </c>
      <c r="J75" s="102">
        <f t="shared" si="94"/>
        <v>2627.2000000000003</v>
      </c>
      <c r="K75" s="102">
        <f t="shared" si="94"/>
        <v>2700</v>
      </c>
      <c r="L75" s="102">
        <f t="shared" si="94"/>
        <v>2773.6000000000004</v>
      </c>
      <c r="M75" s="102">
        <f t="shared" si="94"/>
        <v>2846.3999999999996</v>
      </c>
    </row>
    <row r="76" spans="1:13" x14ac:dyDescent="0.25">
      <c r="A76" s="96"/>
      <c r="B76" s="96"/>
      <c r="C76" s="101" t="s">
        <v>20</v>
      </c>
      <c r="D76" s="103">
        <f t="shared" ref="D76:M76" si="95">ROUND(D74/2087,2)</f>
        <v>27.37</v>
      </c>
      <c r="E76" s="103">
        <f t="shared" si="95"/>
        <v>28.28</v>
      </c>
      <c r="F76" s="103">
        <f t="shared" si="95"/>
        <v>29.19</v>
      </c>
      <c r="G76" s="103">
        <f t="shared" si="95"/>
        <v>30.1</v>
      </c>
      <c r="H76" s="103">
        <f t="shared" si="95"/>
        <v>31.02</v>
      </c>
      <c r="I76" s="103">
        <f t="shared" si="95"/>
        <v>31.93</v>
      </c>
      <c r="J76" s="103">
        <f t="shared" si="95"/>
        <v>32.840000000000003</v>
      </c>
      <c r="K76" s="103">
        <f t="shared" si="95"/>
        <v>33.75</v>
      </c>
      <c r="L76" s="103">
        <f t="shared" si="95"/>
        <v>34.67</v>
      </c>
      <c r="M76" s="103">
        <f t="shared" si="95"/>
        <v>35.58</v>
      </c>
    </row>
    <row r="77" spans="1:13" x14ac:dyDescent="0.25">
      <c r="A77" s="96"/>
      <c r="B77" s="96">
        <v>26</v>
      </c>
      <c r="C77" s="105" t="s">
        <v>38</v>
      </c>
      <c r="D77" s="103">
        <f t="shared" ref="D77:M77" si="96">D78*26</f>
        <v>538.72</v>
      </c>
      <c r="E77" s="103">
        <f t="shared" si="96"/>
        <v>556.92000000000007</v>
      </c>
      <c r="F77" s="103">
        <f t="shared" si="96"/>
        <v>574.86</v>
      </c>
      <c r="G77" s="103">
        <f t="shared" si="96"/>
        <v>592.80000000000007</v>
      </c>
      <c r="H77" s="103">
        <f t="shared" si="96"/>
        <v>610.74</v>
      </c>
      <c r="I77" s="103">
        <f t="shared" si="96"/>
        <v>628.67999999999995</v>
      </c>
      <c r="J77" s="103">
        <f t="shared" si="96"/>
        <v>646.62</v>
      </c>
      <c r="K77" s="103">
        <f t="shared" si="96"/>
        <v>664.56</v>
      </c>
      <c r="L77" s="103">
        <f t="shared" si="96"/>
        <v>682.5</v>
      </c>
      <c r="M77" s="103">
        <f t="shared" si="96"/>
        <v>700.44</v>
      </c>
    </row>
    <row r="78" spans="1:13" x14ac:dyDescent="0.25">
      <c r="A78" s="96"/>
      <c r="B78" s="96"/>
      <c r="C78" s="105" t="s">
        <v>13</v>
      </c>
      <c r="D78" s="103">
        <f t="shared" ref="D78:M78" si="97">ROUND(D74/2756,2)</f>
        <v>20.72</v>
      </c>
      <c r="E78" s="103">
        <f t="shared" si="97"/>
        <v>21.42</v>
      </c>
      <c r="F78" s="103">
        <f t="shared" si="97"/>
        <v>22.11</v>
      </c>
      <c r="G78" s="103">
        <f t="shared" si="97"/>
        <v>22.8</v>
      </c>
      <c r="H78" s="103">
        <f t="shared" si="97"/>
        <v>23.49</v>
      </c>
      <c r="I78" s="103">
        <f t="shared" si="97"/>
        <v>24.18</v>
      </c>
      <c r="J78" s="103">
        <f t="shared" si="97"/>
        <v>24.87</v>
      </c>
      <c r="K78" s="103">
        <f t="shared" si="97"/>
        <v>25.56</v>
      </c>
      <c r="L78" s="103">
        <f t="shared" si="97"/>
        <v>26.25</v>
      </c>
      <c r="M78" s="103">
        <f t="shared" si="97"/>
        <v>26.94</v>
      </c>
    </row>
    <row r="79" spans="1:13" x14ac:dyDescent="0.25">
      <c r="A79" s="96" t="s">
        <v>21</v>
      </c>
      <c r="B79" s="104">
        <f>($G$3-53)*2</f>
        <v>14</v>
      </c>
      <c r="C79" s="105" t="s">
        <v>39</v>
      </c>
      <c r="D79" s="103">
        <f t="shared" ref="D79:M79" si="98">D80*$B$12</f>
        <v>435.12</v>
      </c>
      <c r="E79" s="103">
        <f t="shared" si="98"/>
        <v>449.82000000000005</v>
      </c>
      <c r="F79" s="103">
        <f t="shared" si="98"/>
        <v>464.38</v>
      </c>
      <c r="G79" s="103">
        <f t="shared" si="98"/>
        <v>478.80000000000007</v>
      </c>
      <c r="H79" s="103">
        <f t="shared" si="98"/>
        <v>493.36</v>
      </c>
      <c r="I79" s="103">
        <f t="shared" si="98"/>
        <v>507.78000000000003</v>
      </c>
      <c r="J79" s="103">
        <f t="shared" si="98"/>
        <v>522.34</v>
      </c>
      <c r="K79" s="103">
        <f t="shared" si="98"/>
        <v>536.76</v>
      </c>
      <c r="L79" s="103">
        <f t="shared" si="98"/>
        <v>551.32000000000005</v>
      </c>
      <c r="M79" s="103">
        <f t="shared" si="98"/>
        <v>565.74</v>
      </c>
    </row>
    <row r="80" spans="1:13" x14ac:dyDescent="0.25">
      <c r="A80" s="96"/>
      <c r="B80" s="96"/>
      <c r="C80" s="105" t="s">
        <v>14</v>
      </c>
      <c r="D80" s="100">
        <f t="shared" ref="D80:M80" si="99">IF(ROUND(D78*1.5,2)&lt;$G$149,ROUND(D78*1.5,2),IF($G$149&lt;D78,D78,$G$149))</f>
        <v>31.08</v>
      </c>
      <c r="E80" s="100">
        <f t="shared" si="99"/>
        <v>32.130000000000003</v>
      </c>
      <c r="F80" s="100">
        <f t="shared" si="99"/>
        <v>33.17</v>
      </c>
      <c r="G80" s="100">
        <f t="shared" si="99"/>
        <v>34.200000000000003</v>
      </c>
      <c r="H80" s="100">
        <f t="shared" si="99"/>
        <v>35.24</v>
      </c>
      <c r="I80" s="100">
        <f t="shared" si="99"/>
        <v>36.270000000000003</v>
      </c>
      <c r="J80" s="100">
        <f t="shared" si="99"/>
        <v>37.31</v>
      </c>
      <c r="K80" s="100">
        <f t="shared" si="99"/>
        <v>38.340000000000003</v>
      </c>
      <c r="L80" s="100">
        <f t="shared" si="99"/>
        <v>39.380000000000003</v>
      </c>
      <c r="M80" s="100">
        <f t="shared" si="99"/>
        <v>40.409999999999997</v>
      </c>
    </row>
    <row r="81" spans="1:13" x14ac:dyDescent="0.25">
      <c r="A81" s="106"/>
      <c r="B81" s="106"/>
      <c r="C81" s="101" t="s">
        <v>43</v>
      </c>
      <c r="D81" s="100">
        <f>(ROUND(D76*'Start Page'!$G$32,2)*80)+(ROUND(D78*'Start Page'!$G$32,2)*($B$15-80))</f>
        <v>0</v>
      </c>
      <c r="E81" s="100">
        <f>(ROUND(E76*'Start Page'!$G$32,2)*80)+(ROUND(E78*'Start Page'!$G$32,2)*($B$15-80))</f>
        <v>0</v>
      </c>
      <c r="F81" s="100">
        <f>(ROUND(F76*'Start Page'!$G$32,2)*80)+(ROUND(F78*'Start Page'!$G$32,2)*($B$15-80))</f>
        <v>0</v>
      </c>
      <c r="G81" s="100">
        <f>(ROUND(G76*'Start Page'!$G$32,2)*80)+(ROUND(G78*'Start Page'!$G$32,2)*($B$15-80))</f>
        <v>0</v>
      </c>
      <c r="H81" s="100">
        <f>(ROUND(H76*'Start Page'!$G$32,2)*80)+(ROUND(H78*'Start Page'!$G$32,2)*($B$15-80))</f>
        <v>0</v>
      </c>
      <c r="I81" s="100">
        <f>(ROUND(I76*'Start Page'!$G$32,2)*80)+(ROUND(I78*'Start Page'!$G$32,2)*($B$15-80))</f>
        <v>0</v>
      </c>
      <c r="J81" s="100">
        <f>(ROUND(J76*'Start Page'!$G$32,2)*80)+(ROUND(J78*'Start Page'!$G$32,2)*($B$15-80))</f>
        <v>0</v>
      </c>
      <c r="K81" s="100">
        <f>(ROUND(K76*'Start Page'!$G$32,2)*80)+(ROUND(K78*'Start Page'!$G$32,2)*($B$15-80))</f>
        <v>0</v>
      </c>
      <c r="L81" s="100">
        <f>(ROUND(L76*'Start Page'!$G$32,2)*80)+(ROUND(L78*'Start Page'!$G$32,2)*($B$15-80))</f>
        <v>0</v>
      </c>
      <c r="M81" s="100">
        <f>(ROUND(M76*'Start Page'!$G$32,2)*80)+(ROUND(M78*'Start Page'!$G$32,2)*($B$15-80))</f>
        <v>0</v>
      </c>
    </row>
    <row r="82" spans="1:13" x14ac:dyDescent="0.25">
      <c r="A82" s="96"/>
      <c r="B82" s="96">
        <f>B75+B77+B79</f>
        <v>120</v>
      </c>
      <c r="C82" s="113" t="s">
        <v>17</v>
      </c>
      <c r="D82" s="131">
        <f t="shared" ref="D82:M82" si="100">D75+D77+D79+D81</f>
        <v>3163.4399999999996</v>
      </c>
      <c r="E82" s="131">
        <f t="shared" si="100"/>
        <v>3269.1400000000003</v>
      </c>
      <c r="F82" s="131">
        <f t="shared" si="100"/>
        <v>3374.4400000000005</v>
      </c>
      <c r="G82" s="131">
        <f t="shared" si="100"/>
        <v>3479.6000000000004</v>
      </c>
      <c r="H82" s="131">
        <f t="shared" si="100"/>
        <v>3585.7000000000003</v>
      </c>
      <c r="I82" s="131">
        <f t="shared" si="100"/>
        <v>3690.86</v>
      </c>
      <c r="J82" s="131">
        <f t="shared" si="100"/>
        <v>3796.1600000000003</v>
      </c>
      <c r="K82" s="131">
        <f t="shared" si="100"/>
        <v>3901.3199999999997</v>
      </c>
      <c r="L82" s="131">
        <f t="shared" si="100"/>
        <v>4007.4200000000005</v>
      </c>
      <c r="M82" s="131">
        <f t="shared" si="100"/>
        <v>4112.58</v>
      </c>
    </row>
    <row r="83" spans="1:13" x14ac:dyDescent="0.25">
      <c r="A83" s="96"/>
      <c r="B83" s="96"/>
      <c r="C83" s="113" t="s">
        <v>33</v>
      </c>
      <c r="D83" s="131">
        <f>D82*26</f>
        <v>82249.439999999988</v>
      </c>
      <c r="E83" s="131">
        <f t="shared" ref="E83" si="101">E82*26</f>
        <v>84997.640000000014</v>
      </c>
      <c r="F83" s="131">
        <f t="shared" ref="F83" si="102">F82*26</f>
        <v>87735.440000000017</v>
      </c>
      <c r="G83" s="131">
        <f t="shared" ref="G83" si="103">G82*26</f>
        <v>90469.6</v>
      </c>
      <c r="H83" s="131">
        <f t="shared" ref="H83" si="104">H82*26</f>
        <v>93228.200000000012</v>
      </c>
      <c r="I83" s="131">
        <f t="shared" ref="I83" si="105">I82*26</f>
        <v>95962.36</v>
      </c>
      <c r="J83" s="131">
        <f t="shared" ref="J83" si="106">J82*26</f>
        <v>98700.160000000003</v>
      </c>
      <c r="K83" s="131">
        <f t="shared" ref="K83" si="107">K82*26</f>
        <v>101434.31999999999</v>
      </c>
      <c r="L83" s="131">
        <f t="shared" ref="L83" si="108">L82*26</f>
        <v>104192.92000000001</v>
      </c>
      <c r="M83" s="131">
        <f t="shared" ref="M83" si="109">M82*26</f>
        <v>106927.08</v>
      </c>
    </row>
    <row r="84" spans="1:13" s="129" customFormat="1" x14ac:dyDescent="0.25">
      <c r="A84" s="110"/>
      <c r="B84" s="110"/>
      <c r="C84" s="111" t="s">
        <v>66</v>
      </c>
      <c r="D84" s="132">
        <f>((D76*80)+(D78*($B$15-80)))*26</f>
        <v>78478.399999999994</v>
      </c>
      <c r="E84" s="132">
        <f t="shared" ref="E84:M84" si="110">((E76*80)+(E78*($B$15-80)))*26</f>
        <v>81099.200000000012</v>
      </c>
      <c r="F84" s="132">
        <f t="shared" si="110"/>
        <v>83709.600000000006</v>
      </c>
      <c r="G84" s="132">
        <f t="shared" si="110"/>
        <v>86320</v>
      </c>
      <c r="H84" s="132">
        <f t="shared" si="110"/>
        <v>88951.2</v>
      </c>
      <c r="I84" s="132">
        <f t="shared" si="110"/>
        <v>91561.600000000006</v>
      </c>
      <c r="J84" s="132">
        <f t="shared" si="110"/>
        <v>94172.000000000015</v>
      </c>
      <c r="K84" s="132">
        <f t="shared" si="110"/>
        <v>96782.400000000009</v>
      </c>
      <c r="L84" s="132">
        <f t="shared" si="110"/>
        <v>99413.6</v>
      </c>
      <c r="M84" s="114">
        <f t="shared" si="110"/>
        <v>102024</v>
      </c>
    </row>
    <row r="85" spans="1:13" x14ac:dyDescent="0.25">
      <c r="A85" s="95"/>
      <c r="B85" s="95"/>
      <c r="C85" s="126" t="s">
        <v>30</v>
      </c>
      <c r="D85" s="102">
        <f>'GS Pay Scale'!B16</f>
        <v>62898</v>
      </c>
      <c r="E85" s="102">
        <f>'GS Pay Scale'!C16</f>
        <v>64995</v>
      </c>
      <c r="F85" s="102">
        <f>'GS Pay Scale'!D16</f>
        <v>67092</v>
      </c>
      <c r="G85" s="102">
        <f>'GS Pay Scale'!E16</f>
        <v>69189</v>
      </c>
      <c r="H85" s="102">
        <f>'GS Pay Scale'!F16</f>
        <v>71286</v>
      </c>
      <c r="I85" s="102">
        <f>'GS Pay Scale'!G16</f>
        <v>73383</v>
      </c>
      <c r="J85" s="102">
        <f>'GS Pay Scale'!H16</f>
        <v>75480</v>
      </c>
      <c r="K85" s="102">
        <f>'GS Pay Scale'!I16</f>
        <v>77577</v>
      </c>
      <c r="L85" s="102">
        <f>'GS Pay Scale'!J16</f>
        <v>79674</v>
      </c>
      <c r="M85" s="102">
        <f>'GS Pay Scale'!K16</f>
        <v>81771</v>
      </c>
    </row>
    <row r="86" spans="1:13" x14ac:dyDescent="0.25">
      <c r="A86" s="96"/>
      <c r="B86" s="96">
        <v>80</v>
      </c>
      <c r="C86" s="101" t="s">
        <v>41</v>
      </c>
      <c r="D86" s="102">
        <f t="shared" ref="D86:M86" si="111">D87*80</f>
        <v>2411.1999999999998</v>
      </c>
      <c r="E86" s="102">
        <f t="shared" si="111"/>
        <v>2491.1999999999998</v>
      </c>
      <c r="F86" s="102">
        <f t="shared" si="111"/>
        <v>2572</v>
      </c>
      <c r="G86" s="102">
        <f t="shared" si="111"/>
        <v>2652</v>
      </c>
      <c r="H86" s="102">
        <f t="shared" si="111"/>
        <v>2732.7999999999997</v>
      </c>
      <c r="I86" s="102">
        <f t="shared" si="111"/>
        <v>2812.7999999999997</v>
      </c>
      <c r="J86" s="102">
        <f t="shared" si="111"/>
        <v>2893.6000000000004</v>
      </c>
      <c r="K86" s="102">
        <f t="shared" si="111"/>
        <v>2973.6000000000004</v>
      </c>
      <c r="L86" s="102">
        <f t="shared" si="111"/>
        <v>3054.4</v>
      </c>
      <c r="M86" s="102">
        <f t="shared" si="111"/>
        <v>3134.4</v>
      </c>
    </row>
    <row r="87" spans="1:13" x14ac:dyDescent="0.25">
      <c r="A87" s="96"/>
      <c r="B87" s="96"/>
      <c r="C87" s="101" t="s">
        <v>20</v>
      </c>
      <c r="D87" s="103">
        <f t="shared" ref="D87:M87" si="112">ROUND(D85/2087,2)</f>
        <v>30.14</v>
      </c>
      <c r="E87" s="103">
        <f t="shared" si="112"/>
        <v>31.14</v>
      </c>
      <c r="F87" s="103">
        <f t="shared" si="112"/>
        <v>32.15</v>
      </c>
      <c r="G87" s="103">
        <f t="shared" si="112"/>
        <v>33.15</v>
      </c>
      <c r="H87" s="103">
        <f t="shared" si="112"/>
        <v>34.159999999999997</v>
      </c>
      <c r="I87" s="103">
        <f t="shared" si="112"/>
        <v>35.159999999999997</v>
      </c>
      <c r="J87" s="103">
        <f t="shared" si="112"/>
        <v>36.17</v>
      </c>
      <c r="K87" s="103">
        <f t="shared" si="112"/>
        <v>37.17</v>
      </c>
      <c r="L87" s="103">
        <f t="shared" si="112"/>
        <v>38.18</v>
      </c>
      <c r="M87" s="103">
        <f t="shared" si="112"/>
        <v>39.18</v>
      </c>
    </row>
    <row r="88" spans="1:13" x14ac:dyDescent="0.25">
      <c r="A88" s="96"/>
      <c r="B88" s="96">
        <v>26</v>
      </c>
      <c r="C88" s="105" t="s">
        <v>38</v>
      </c>
      <c r="D88" s="103">
        <f t="shared" ref="D88:M88" si="113">D89*26</f>
        <v>593.32000000000005</v>
      </c>
      <c r="E88" s="103">
        <f t="shared" si="113"/>
        <v>613.07999999999993</v>
      </c>
      <c r="F88" s="103">
        <f t="shared" si="113"/>
        <v>632.84</v>
      </c>
      <c r="G88" s="103">
        <f t="shared" si="113"/>
        <v>652.6</v>
      </c>
      <c r="H88" s="103">
        <f t="shared" si="113"/>
        <v>672.62</v>
      </c>
      <c r="I88" s="103">
        <f t="shared" si="113"/>
        <v>692.38</v>
      </c>
      <c r="J88" s="103">
        <f t="shared" si="113"/>
        <v>712.14</v>
      </c>
      <c r="K88" s="103">
        <f t="shared" si="113"/>
        <v>731.9</v>
      </c>
      <c r="L88" s="103">
        <f t="shared" si="113"/>
        <v>751.66</v>
      </c>
      <c r="M88" s="103">
        <f t="shared" si="113"/>
        <v>771.42000000000007</v>
      </c>
    </row>
    <row r="89" spans="1:13" x14ac:dyDescent="0.25">
      <c r="A89" s="96"/>
      <c r="B89" s="96"/>
      <c r="C89" s="105" t="s">
        <v>13</v>
      </c>
      <c r="D89" s="103">
        <f t="shared" ref="D89:M89" si="114">ROUND(D85/2756,2)</f>
        <v>22.82</v>
      </c>
      <c r="E89" s="103">
        <f t="shared" si="114"/>
        <v>23.58</v>
      </c>
      <c r="F89" s="103">
        <f t="shared" si="114"/>
        <v>24.34</v>
      </c>
      <c r="G89" s="103">
        <f t="shared" si="114"/>
        <v>25.1</v>
      </c>
      <c r="H89" s="103">
        <f t="shared" si="114"/>
        <v>25.87</v>
      </c>
      <c r="I89" s="103">
        <f t="shared" si="114"/>
        <v>26.63</v>
      </c>
      <c r="J89" s="103">
        <f t="shared" si="114"/>
        <v>27.39</v>
      </c>
      <c r="K89" s="103">
        <f t="shared" si="114"/>
        <v>28.15</v>
      </c>
      <c r="L89" s="103">
        <f t="shared" si="114"/>
        <v>28.91</v>
      </c>
      <c r="M89" s="103">
        <f t="shared" si="114"/>
        <v>29.67</v>
      </c>
    </row>
    <row r="90" spans="1:13" x14ac:dyDescent="0.25">
      <c r="A90" s="96" t="s">
        <v>25</v>
      </c>
      <c r="B90" s="104">
        <f>($G$3-53)*2</f>
        <v>14</v>
      </c>
      <c r="C90" s="105" t="s">
        <v>39</v>
      </c>
      <c r="D90" s="103">
        <f t="shared" ref="D90:M90" si="115">D91*$B$12</f>
        <v>479.21999999999997</v>
      </c>
      <c r="E90" s="103">
        <f t="shared" si="115"/>
        <v>495.17999999999995</v>
      </c>
      <c r="F90" s="103">
        <f t="shared" si="115"/>
        <v>511.14</v>
      </c>
      <c r="G90" s="103">
        <f t="shared" si="115"/>
        <v>527.1</v>
      </c>
      <c r="H90" s="103">
        <f t="shared" si="115"/>
        <v>543.34</v>
      </c>
      <c r="I90" s="103">
        <f t="shared" si="115"/>
        <v>559.30000000000007</v>
      </c>
      <c r="J90" s="103">
        <f t="shared" si="115"/>
        <v>575.26</v>
      </c>
      <c r="K90" s="103">
        <f t="shared" si="115"/>
        <v>591.21999999999991</v>
      </c>
      <c r="L90" s="103">
        <f t="shared" si="115"/>
        <v>607.17999999999995</v>
      </c>
      <c r="M90" s="103">
        <f t="shared" si="115"/>
        <v>623.14</v>
      </c>
    </row>
    <row r="91" spans="1:13" x14ac:dyDescent="0.25">
      <c r="A91" s="96"/>
      <c r="B91" s="96"/>
      <c r="C91" s="105" t="s">
        <v>14</v>
      </c>
      <c r="D91" s="100">
        <f t="shared" ref="D91:M91" si="116">IF(ROUND(D89*1.5,2)&lt;$G$149,ROUND(D89*1.5,2),IF($G$149&lt;D89,D89,$G$149))</f>
        <v>34.229999999999997</v>
      </c>
      <c r="E91" s="100">
        <f t="shared" si="116"/>
        <v>35.369999999999997</v>
      </c>
      <c r="F91" s="100">
        <f t="shared" si="116"/>
        <v>36.51</v>
      </c>
      <c r="G91" s="100">
        <f t="shared" si="116"/>
        <v>37.65</v>
      </c>
      <c r="H91" s="100">
        <f t="shared" si="116"/>
        <v>38.81</v>
      </c>
      <c r="I91" s="100">
        <f t="shared" si="116"/>
        <v>39.950000000000003</v>
      </c>
      <c r="J91" s="100">
        <f t="shared" si="116"/>
        <v>41.09</v>
      </c>
      <c r="K91" s="100">
        <f t="shared" si="116"/>
        <v>42.23</v>
      </c>
      <c r="L91" s="100">
        <f t="shared" si="116"/>
        <v>43.37</v>
      </c>
      <c r="M91" s="100">
        <f t="shared" si="116"/>
        <v>44.51</v>
      </c>
    </row>
    <row r="92" spans="1:13" x14ac:dyDescent="0.25">
      <c r="A92" s="106"/>
      <c r="B92" s="106"/>
      <c r="C92" s="101" t="s">
        <v>43</v>
      </c>
      <c r="D92" s="100">
        <f>(ROUND(D87*'Start Page'!$G$32,2)*80)+(ROUND(D89*'Start Page'!$G$32,2)*($B$15-80))</f>
        <v>0</v>
      </c>
      <c r="E92" s="100">
        <f>(ROUND(E87*'Start Page'!$G$32,2)*80)+(ROUND(E89*'Start Page'!$G$32,2)*($B$15-80))</f>
        <v>0</v>
      </c>
      <c r="F92" s="100">
        <f>(ROUND(F87*'Start Page'!$G$32,2)*80)+(ROUND(F89*'Start Page'!$G$32,2)*($B$15-80))</f>
        <v>0</v>
      </c>
      <c r="G92" s="100">
        <f>(ROUND(G87*'Start Page'!$G$32,2)*80)+(ROUND(G89*'Start Page'!$G$32,2)*($B$15-80))</f>
        <v>0</v>
      </c>
      <c r="H92" s="100">
        <f>(ROUND(H87*'Start Page'!$G$32,2)*80)+(ROUND(H89*'Start Page'!$G$32,2)*($B$15-80))</f>
        <v>0</v>
      </c>
      <c r="I92" s="100">
        <f>(ROUND(I87*'Start Page'!$G$32,2)*80)+(ROUND(I89*'Start Page'!$G$32,2)*($B$15-80))</f>
        <v>0</v>
      </c>
      <c r="J92" s="100">
        <f>(ROUND(J87*'Start Page'!$G$32,2)*80)+(ROUND(J89*'Start Page'!$G$32,2)*($B$15-80))</f>
        <v>0</v>
      </c>
      <c r="K92" s="100">
        <f>(ROUND(K87*'Start Page'!$G$32,2)*80)+(ROUND(K89*'Start Page'!$G$32,2)*($B$15-80))</f>
        <v>0</v>
      </c>
      <c r="L92" s="100">
        <f>(ROUND(L87*'Start Page'!$G$32,2)*80)+(ROUND(L89*'Start Page'!$G$32,2)*($B$15-80))</f>
        <v>0</v>
      </c>
      <c r="M92" s="100">
        <f>(ROUND(M87*'Start Page'!$G$32,2)*80)+(ROUND(M89*'Start Page'!$G$32,2)*($B$15-80))</f>
        <v>0</v>
      </c>
    </row>
    <row r="93" spans="1:13" x14ac:dyDescent="0.25">
      <c r="A93" s="96"/>
      <c r="B93" s="96">
        <f>B86+B88+B90</f>
        <v>120</v>
      </c>
      <c r="C93" s="113" t="s">
        <v>17</v>
      </c>
      <c r="D93" s="131">
        <f t="shared" ref="D93:M93" si="117">D86+D88+D90+D92</f>
        <v>3483.74</v>
      </c>
      <c r="E93" s="131">
        <f t="shared" si="117"/>
        <v>3599.4599999999996</v>
      </c>
      <c r="F93" s="131">
        <f t="shared" si="117"/>
        <v>3715.98</v>
      </c>
      <c r="G93" s="131">
        <f t="shared" si="117"/>
        <v>3831.7</v>
      </c>
      <c r="H93" s="131">
        <f t="shared" si="117"/>
        <v>3948.7599999999998</v>
      </c>
      <c r="I93" s="131">
        <f t="shared" si="117"/>
        <v>4064.48</v>
      </c>
      <c r="J93" s="131">
        <f t="shared" si="117"/>
        <v>4181</v>
      </c>
      <c r="K93" s="131">
        <f t="shared" si="117"/>
        <v>4296.72</v>
      </c>
      <c r="L93" s="131">
        <f t="shared" si="117"/>
        <v>4413.24</v>
      </c>
      <c r="M93" s="131">
        <f t="shared" si="117"/>
        <v>4528.96</v>
      </c>
    </row>
    <row r="94" spans="1:13" x14ac:dyDescent="0.25">
      <c r="A94" s="96"/>
      <c r="B94" s="96"/>
      <c r="C94" s="113" t="s">
        <v>33</v>
      </c>
      <c r="D94" s="131">
        <f>D93*26</f>
        <v>90577.239999999991</v>
      </c>
      <c r="E94" s="131">
        <f t="shared" ref="E94" si="118">E93*26</f>
        <v>93585.959999999992</v>
      </c>
      <c r="F94" s="131">
        <f t="shared" ref="F94" si="119">F93*26</f>
        <v>96615.48</v>
      </c>
      <c r="G94" s="131">
        <f t="shared" ref="G94" si="120">G93*26</f>
        <v>99624.2</v>
      </c>
      <c r="H94" s="131">
        <f t="shared" ref="H94" si="121">H93*26</f>
        <v>102667.76</v>
      </c>
      <c r="I94" s="131">
        <f t="shared" ref="I94" si="122">I93*26</f>
        <v>105676.48</v>
      </c>
      <c r="J94" s="131">
        <f t="shared" ref="J94" si="123">J93*26</f>
        <v>108706</v>
      </c>
      <c r="K94" s="131">
        <f t="shared" ref="K94" si="124">K93*26</f>
        <v>111714.72</v>
      </c>
      <c r="L94" s="131">
        <f t="shared" ref="L94" si="125">L93*26</f>
        <v>114744.23999999999</v>
      </c>
      <c r="M94" s="131">
        <f t="shared" ref="M94" si="126">M93*26</f>
        <v>117752.96000000001</v>
      </c>
    </row>
    <row r="95" spans="1:13" s="129" customFormat="1" x14ac:dyDescent="0.25">
      <c r="A95" s="110"/>
      <c r="B95" s="110"/>
      <c r="C95" s="111" t="s">
        <v>66</v>
      </c>
      <c r="D95" s="132">
        <f>((D87*80)+(D89*($B$15-80)))*26</f>
        <v>86424</v>
      </c>
      <c r="E95" s="132">
        <f t="shared" ref="E95:M95" si="127">((E87*80)+(E89*($B$15-80)))*26</f>
        <v>89294.399999999994</v>
      </c>
      <c r="F95" s="132">
        <f t="shared" si="127"/>
        <v>92185.599999999991</v>
      </c>
      <c r="G95" s="132">
        <f t="shared" si="127"/>
        <v>95056</v>
      </c>
      <c r="H95" s="132">
        <f t="shared" si="127"/>
        <v>97957.599999999991</v>
      </c>
      <c r="I95" s="132">
        <f t="shared" si="127"/>
        <v>100828</v>
      </c>
      <c r="J95" s="132">
        <f t="shared" si="127"/>
        <v>103719.20000000001</v>
      </c>
      <c r="K95" s="132">
        <f t="shared" si="127"/>
        <v>106589.6</v>
      </c>
      <c r="L95" s="132">
        <f t="shared" si="127"/>
        <v>109480.8</v>
      </c>
      <c r="M95" s="114">
        <f t="shared" si="127"/>
        <v>112351.20000000001</v>
      </c>
    </row>
    <row r="96" spans="1:13" x14ac:dyDescent="0.25">
      <c r="A96" s="94" t="s">
        <v>0</v>
      </c>
      <c r="B96" s="94" t="s">
        <v>40</v>
      </c>
      <c r="C96" s="94" t="s">
        <v>1</v>
      </c>
      <c r="D96" s="94" t="s">
        <v>2</v>
      </c>
      <c r="E96" s="94" t="s">
        <v>3</v>
      </c>
      <c r="F96" s="94" t="s">
        <v>4</v>
      </c>
      <c r="G96" s="94" t="s">
        <v>5</v>
      </c>
      <c r="H96" s="94" t="s">
        <v>6</v>
      </c>
      <c r="I96" s="94" t="s">
        <v>7</v>
      </c>
      <c r="J96" s="94" t="s">
        <v>8</v>
      </c>
      <c r="K96" s="94" t="s">
        <v>9</v>
      </c>
      <c r="L96" s="94" t="s">
        <v>10</v>
      </c>
      <c r="M96" s="94" t="s">
        <v>11</v>
      </c>
    </row>
    <row r="97" spans="1:13" x14ac:dyDescent="0.25">
      <c r="A97" s="95"/>
      <c r="B97" s="95"/>
      <c r="C97" s="126" t="s">
        <v>30</v>
      </c>
      <c r="D97" s="102">
        <f>'GS Pay Scale'!B17</f>
        <v>69107</v>
      </c>
      <c r="E97" s="102">
        <f>'GS Pay Scale'!C17</f>
        <v>71410</v>
      </c>
      <c r="F97" s="102">
        <f>'GS Pay Scale'!D17</f>
        <v>73713</v>
      </c>
      <c r="G97" s="102">
        <f>'GS Pay Scale'!E17</f>
        <v>76016</v>
      </c>
      <c r="H97" s="102">
        <f>'GS Pay Scale'!F17</f>
        <v>78319</v>
      </c>
      <c r="I97" s="102">
        <f>'GS Pay Scale'!G17</f>
        <v>80623</v>
      </c>
      <c r="J97" s="102">
        <f>'GS Pay Scale'!H17</f>
        <v>82926</v>
      </c>
      <c r="K97" s="102">
        <f>'GS Pay Scale'!I17</f>
        <v>85229</v>
      </c>
      <c r="L97" s="102">
        <f>'GS Pay Scale'!J17</f>
        <v>87532</v>
      </c>
      <c r="M97" s="102">
        <f>'GS Pay Scale'!K17</f>
        <v>89835</v>
      </c>
    </row>
    <row r="98" spans="1:13" x14ac:dyDescent="0.25">
      <c r="A98" s="96"/>
      <c r="B98" s="96">
        <v>80</v>
      </c>
      <c r="C98" s="101" t="s">
        <v>41</v>
      </c>
      <c r="D98" s="102">
        <f t="shared" ref="D98:M98" si="128">D99*80</f>
        <v>2648.8</v>
      </c>
      <c r="E98" s="102">
        <f t="shared" si="128"/>
        <v>2737.6</v>
      </c>
      <c r="F98" s="102">
        <f t="shared" si="128"/>
        <v>2825.6</v>
      </c>
      <c r="G98" s="102">
        <f t="shared" si="128"/>
        <v>2913.6000000000004</v>
      </c>
      <c r="H98" s="102">
        <f t="shared" si="128"/>
        <v>3002.4</v>
      </c>
      <c r="I98" s="102">
        <f t="shared" si="128"/>
        <v>3090.4</v>
      </c>
      <c r="J98" s="102">
        <f t="shared" si="128"/>
        <v>3178.3999999999996</v>
      </c>
      <c r="K98" s="102">
        <f t="shared" si="128"/>
        <v>3267.2000000000003</v>
      </c>
      <c r="L98" s="102">
        <f t="shared" si="128"/>
        <v>3355.2</v>
      </c>
      <c r="M98" s="102">
        <f t="shared" si="128"/>
        <v>3444</v>
      </c>
    </row>
    <row r="99" spans="1:13" x14ac:dyDescent="0.25">
      <c r="A99" s="96"/>
      <c r="B99" s="96"/>
      <c r="C99" s="101" t="s">
        <v>20</v>
      </c>
      <c r="D99" s="103">
        <f>ROUND(D97/2087,2)</f>
        <v>33.11</v>
      </c>
      <c r="E99" s="103">
        <f t="shared" ref="E99:M99" si="129">ROUND(E97/2087,2)</f>
        <v>34.22</v>
      </c>
      <c r="F99" s="103">
        <f t="shared" si="129"/>
        <v>35.32</v>
      </c>
      <c r="G99" s="103">
        <f t="shared" si="129"/>
        <v>36.42</v>
      </c>
      <c r="H99" s="103">
        <f t="shared" si="129"/>
        <v>37.53</v>
      </c>
      <c r="I99" s="103">
        <f t="shared" si="129"/>
        <v>38.630000000000003</v>
      </c>
      <c r="J99" s="103">
        <f t="shared" si="129"/>
        <v>39.729999999999997</v>
      </c>
      <c r="K99" s="103">
        <f t="shared" si="129"/>
        <v>40.840000000000003</v>
      </c>
      <c r="L99" s="103">
        <f t="shared" si="129"/>
        <v>41.94</v>
      </c>
      <c r="M99" s="103">
        <f t="shared" si="129"/>
        <v>43.05</v>
      </c>
    </row>
    <row r="100" spans="1:13" x14ac:dyDescent="0.25">
      <c r="A100" s="96"/>
      <c r="B100" s="96">
        <v>26</v>
      </c>
      <c r="C100" s="105" t="s">
        <v>38</v>
      </c>
      <c r="D100" s="103">
        <f t="shared" ref="D100:M100" si="130">D101*26</f>
        <v>652.07999999999993</v>
      </c>
      <c r="E100" s="103">
        <f t="shared" si="130"/>
        <v>673.66</v>
      </c>
      <c r="F100" s="103">
        <f t="shared" si="130"/>
        <v>695.5</v>
      </c>
      <c r="G100" s="103">
        <f t="shared" si="130"/>
        <v>717.07999999999993</v>
      </c>
      <c r="H100" s="103">
        <f t="shared" si="130"/>
        <v>738.92000000000007</v>
      </c>
      <c r="I100" s="103">
        <f t="shared" si="130"/>
        <v>760.5</v>
      </c>
      <c r="J100" s="103">
        <f t="shared" si="130"/>
        <v>782.34</v>
      </c>
      <c r="K100" s="103">
        <f t="shared" si="130"/>
        <v>803.92000000000007</v>
      </c>
      <c r="L100" s="103">
        <f t="shared" si="130"/>
        <v>825.76</v>
      </c>
      <c r="M100" s="103">
        <f t="shared" si="130"/>
        <v>847.6</v>
      </c>
    </row>
    <row r="101" spans="1:13" x14ac:dyDescent="0.25">
      <c r="A101" s="96"/>
      <c r="B101" s="96"/>
      <c r="C101" s="105" t="s">
        <v>13</v>
      </c>
      <c r="D101" s="103">
        <f>ROUND(D97/2756,2)</f>
        <v>25.08</v>
      </c>
      <c r="E101" s="103">
        <f t="shared" ref="E101:M101" si="131">ROUND(E97/2756,2)</f>
        <v>25.91</v>
      </c>
      <c r="F101" s="103">
        <f t="shared" si="131"/>
        <v>26.75</v>
      </c>
      <c r="G101" s="103">
        <f t="shared" si="131"/>
        <v>27.58</v>
      </c>
      <c r="H101" s="103">
        <f t="shared" si="131"/>
        <v>28.42</v>
      </c>
      <c r="I101" s="103">
        <f t="shared" si="131"/>
        <v>29.25</v>
      </c>
      <c r="J101" s="103">
        <f t="shared" si="131"/>
        <v>30.09</v>
      </c>
      <c r="K101" s="103">
        <f t="shared" si="131"/>
        <v>30.92</v>
      </c>
      <c r="L101" s="103">
        <f t="shared" si="131"/>
        <v>31.76</v>
      </c>
      <c r="M101" s="103">
        <f t="shared" si="131"/>
        <v>32.6</v>
      </c>
    </row>
    <row r="102" spans="1:13" x14ac:dyDescent="0.25">
      <c r="A102" s="96" t="s">
        <v>16</v>
      </c>
      <c r="B102" s="104">
        <f>($G$3-53)*2</f>
        <v>14</v>
      </c>
      <c r="C102" s="105" t="s">
        <v>39</v>
      </c>
      <c r="D102" s="103">
        <f t="shared" ref="D102:M102" si="132">D103*$B$12</f>
        <v>526.67999999999995</v>
      </c>
      <c r="E102" s="103">
        <f t="shared" si="132"/>
        <v>544.17999999999995</v>
      </c>
      <c r="F102" s="103">
        <f t="shared" si="132"/>
        <v>561.82000000000005</v>
      </c>
      <c r="G102" s="103">
        <f t="shared" si="132"/>
        <v>579.17999999999995</v>
      </c>
      <c r="H102" s="103">
        <f t="shared" si="132"/>
        <v>596.82000000000005</v>
      </c>
      <c r="I102" s="103">
        <f t="shared" si="132"/>
        <v>614.32000000000005</v>
      </c>
      <c r="J102" s="103">
        <f t="shared" si="132"/>
        <v>631.96</v>
      </c>
      <c r="K102" s="103">
        <f t="shared" si="132"/>
        <v>632.94000000000005</v>
      </c>
      <c r="L102" s="103">
        <f t="shared" si="132"/>
        <v>632.94000000000005</v>
      </c>
      <c r="M102" s="103">
        <f t="shared" si="132"/>
        <v>632.94000000000005</v>
      </c>
    </row>
    <row r="103" spans="1:13" x14ac:dyDescent="0.25">
      <c r="A103" s="96"/>
      <c r="B103" s="96"/>
      <c r="C103" s="105" t="s">
        <v>14</v>
      </c>
      <c r="D103" s="100">
        <f>IF(ROUND(D101*1.5,2)&lt;$G$149,ROUND(D101*1.5,2),IF($G$149&lt;D101,D101,$G$149))</f>
        <v>37.619999999999997</v>
      </c>
      <c r="E103" s="100">
        <f t="shared" ref="E103:M103" si="133">IF(ROUND(E101*1.5,2)&lt;$G$149,ROUND(E101*1.5,2),IF($G$149&lt;E101,E101,$G$149))</f>
        <v>38.869999999999997</v>
      </c>
      <c r="F103" s="100">
        <f t="shared" si="133"/>
        <v>40.130000000000003</v>
      </c>
      <c r="G103" s="100">
        <f t="shared" si="133"/>
        <v>41.37</v>
      </c>
      <c r="H103" s="100">
        <f t="shared" si="133"/>
        <v>42.63</v>
      </c>
      <c r="I103" s="100">
        <f t="shared" si="133"/>
        <v>43.88</v>
      </c>
      <c r="J103" s="100">
        <f t="shared" si="133"/>
        <v>45.14</v>
      </c>
      <c r="K103" s="100">
        <f t="shared" si="133"/>
        <v>45.21</v>
      </c>
      <c r="L103" s="100">
        <f t="shared" si="133"/>
        <v>45.21</v>
      </c>
      <c r="M103" s="100">
        <f t="shared" si="133"/>
        <v>45.21</v>
      </c>
    </row>
    <row r="104" spans="1:13" x14ac:dyDescent="0.25">
      <c r="A104" s="106"/>
      <c r="B104" s="106"/>
      <c r="C104" s="101" t="s">
        <v>43</v>
      </c>
      <c r="D104" s="100">
        <f>(ROUND(D99*'Start Page'!$G$32,2)*80)+(ROUND(D101*'Start Page'!$G$32,2)*($B$15-80))</f>
        <v>0</v>
      </c>
      <c r="E104" s="100">
        <f>(ROUND(E99*'Start Page'!$G$32,2)*80)+(ROUND(E101*'Start Page'!$G$32,2)*($B$15-80))</f>
        <v>0</v>
      </c>
      <c r="F104" s="100">
        <f>(ROUND(F99*'Start Page'!$G$32,2)*80)+(ROUND(F101*'Start Page'!$G$32,2)*($B$15-80))</f>
        <v>0</v>
      </c>
      <c r="G104" s="100">
        <f>(ROUND(G99*'Start Page'!$G$32,2)*80)+(ROUND(G101*'Start Page'!$G$32,2)*($B$15-80))</f>
        <v>0</v>
      </c>
      <c r="H104" s="100">
        <f>(ROUND(H99*'Start Page'!$G$32,2)*80)+(ROUND(H101*'Start Page'!$G$32,2)*($B$15-80))</f>
        <v>0</v>
      </c>
      <c r="I104" s="100">
        <f>(ROUND(I99*'Start Page'!$G$32,2)*80)+(ROUND(I101*'Start Page'!$G$32,2)*($B$15-80))</f>
        <v>0</v>
      </c>
      <c r="J104" s="100">
        <f>(ROUND(J99*'Start Page'!$G$32,2)*80)+(ROUND(J101*'Start Page'!$G$32,2)*($B$15-80))</f>
        <v>0</v>
      </c>
      <c r="K104" s="100">
        <f>(ROUND(K99*'Start Page'!$G$32,2)*80)+(ROUND(K101*'Start Page'!$G$32,2)*($B$15-80))</f>
        <v>0</v>
      </c>
      <c r="L104" s="100">
        <f>(ROUND(L99*'Start Page'!$G$32,2)*80)+(ROUND(L101*'Start Page'!$G$32,2)*($B$15-80))</f>
        <v>0</v>
      </c>
      <c r="M104" s="100">
        <f>(ROUND(M99*'Start Page'!$G$32,2)*80)+(ROUND(M101*'Start Page'!$G$32,2)*($B$15-80))</f>
        <v>0</v>
      </c>
    </row>
    <row r="105" spans="1:13" x14ac:dyDescent="0.25">
      <c r="A105" s="96"/>
      <c r="B105" s="96">
        <f>B98+B100+B102</f>
        <v>120</v>
      </c>
      <c r="C105" s="113" t="s">
        <v>17</v>
      </c>
      <c r="D105" s="131">
        <f t="shared" ref="D105:M105" si="134">D98+D100+D102+D104</f>
        <v>3827.56</v>
      </c>
      <c r="E105" s="131">
        <f t="shared" si="134"/>
        <v>3955.4399999999996</v>
      </c>
      <c r="F105" s="131">
        <f t="shared" si="134"/>
        <v>4082.92</v>
      </c>
      <c r="G105" s="131">
        <f t="shared" si="134"/>
        <v>4209.8600000000006</v>
      </c>
      <c r="H105" s="131">
        <f t="shared" si="134"/>
        <v>4338.1400000000003</v>
      </c>
      <c r="I105" s="131">
        <f t="shared" si="134"/>
        <v>4465.22</v>
      </c>
      <c r="J105" s="131">
        <f t="shared" si="134"/>
        <v>4592.7</v>
      </c>
      <c r="K105" s="131">
        <f t="shared" si="134"/>
        <v>4704.0600000000004</v>
      </c>
      <c r="L105" s="131">
        <f t="shared" si="134"/>
        <v>4813.8999999999996</v>
      </c>
      <c r="M105" s="131">
        <f t="shared" si="134"/>
        <v>4924.5400000000009</v>
      </c>
    </row>
    <row r="106" spans="1:13" x14ac:dyDescent="0.25">
      <c r="A106" s="96"/>
      <c r="B106" s="96"/>
      <c r="C106" s="113" t="s">
        <v>33</v>
      </c>
      <c r="D106" s="131">
        <f>D105*26</f>
        <v>99516.56</v>
      </c>
      <c r="E106" s="131">
        <f t="shared" ref="E106" si="135">E105*26</f>
        <v>102841.43999999999</v>
      </c>
      <c r="F106" s="131">
        <f t="shared" ref="F106" si="136">F105*26</f>
        <v>106155.92</v>
      </c>
      <c r="G106" s="131">
        <f t="shared" ref="G106" si="137">G105*26</f>
        <v>109456.36000000002</v>
      </c>
      <c r="H106" s="131">
        <f t="shared" ref="H106" si="138">H105*26</f>
        <v>112791.64000000001</v>
      </c>
      <c r="I106" s="131">
        <f t="shared" ref="I106" si="139">I105*26</f>
        <v>116095.72</v>
      </c>
      <c r="J106" s="131">
        <f t="shared" ref="J106" si="140">J105*26</f>
        <v>119410.2</v>
      </c>
      <c r="K106" s="131">
        <f t="shared" ref="K106" si="141">K105*26</f>
        <v>122305.56000000001</v>
      </c>
      <c r="L106" s="131">
        <f t="shared" ref="L106" si="142">L105*26</f>
        <v>125161.4</v>
      </c>
      <c r="M106" s="131">
        <f t="shared" ref="M106" si="143">M105*26</f>
        <v>128038.04000000002</v>
      </c>
    </row>
    <row r="107" spans="1:13" s="129" customFormat="1" x14ac:dyDescent="0.25">
      <c r="A107" s="110"/>
      <c r="B107" s="110"/>
      <c r="C107" s="111" t="s">
        <v>66</v>
      </c>
      <c r="D107" s="132">
        <f>((D99*80)+(D101*($B$15-80)))*26</f>
        <v>94952</v>
      </c>
      <c r="E107" s="132">
        <f t="shared" ref="E107:M107" si="144">((E99*80)+(E101*($B$15-80)))*26</f>
        <v>98124</v>
      </c>
      <c r="F107" s="132">
        <f t="shared" si="144"/>
        <v>101285.59999999999</v>
      </c>
      <c r="G107" s="132">
        <f t="shared" si="144"/>
        <v>104436.8</v>
      </c>
      <c r="H107" s="132">
        <f t="shared" si="144"/>
        <v>107619.20000000001</v>
      </c>
      <c r="I107" s="132">
        <f t="shared" si="144"/>
        <v>110770.4</v>
      </c>
      <c r="J107" s="132">
        <f t="shared" si="144"/>
        <v>113932</v>
      </c>
      <c r="K107" s="132">
        <f t="shared" si="144"/>
        <v>117104</v>
      </c>
      <c r="L107" s="132">
        <f t="shared" si="144"/>
        <v>120265.60000000001</v>
      </c>
      <c r="M107" s="114">
        <f t="shared" si="144"/>
        <v>123448</v>
      </c>
    </row>
    <row r="108" spans="1:13" x14ac:dyDescent="0.25">
      <c r="A108" s="95"/>
      <c r="B108" s="95"/>
      <c r="C108" s="126" t="s">
        <v>30</v>
      </c>
      <c r="D108" s="102">
        <f>'GS Pay Scale'!B18</f>
        <v>82830</v>
      </c>
      <c r="E108" s="102">
        <f>'GS Pay Scale'!C18</f>
        <v>85591</v>
      </c>
      <c r="F108" s="102">
        <f>'GS Pay Scale'!D18</f>
        <v>88352</v>
      </c>
      <c r="G108" s="102">
        <f>'GS Pay Scale'!E18</f>
        <v>91113</v>
      </c>
      <c r="H108" s="102">
        <f>'GS Pay Scale'!F18</f>
        <v>93875</v>
      </c>
      <c r="I108" s="102">
        <f>'GS Pay Scale'!G18</f>
        <v>96636</v>
      </c>
      <c r="J108" s="102">
        <f>'GS Pay Scale'!H18</f>
        <v>99397</v>
      </c>
      <c r="K108" s="102">
        <f>'GS Pay Scale'!I18</f>
        <v>102158</v>
      </c>
      <c r="L108" s="102">
        <f>'GS Pay Scale'!J18</f>
        <v>104919</v>
      </c>
      <c r="M108" s="102">
        <f>'GS Pay Scale'!K18</f>
        <v>107680</v>
      </c>
    </row>
    <row r="109" spans="1:13" x14ac:dyDescent="0.25">
      <c r="A109" s="96"/>
      <c r="B109" s="96">
        <v>80</v>
      </c>
      <c r="C109" s="101" t="s">
        <v>41</v>
      </c>
      <c r="D109" s="102">
        <f t="shared" ref="D109:M109" si="145">D110*80</f>
        <v>3175.2</v>
      </c>
      <c r="E109" s="102">
        <f t="shared" si="145"/>
        <v>3280.7999999999997</v>
      </c>
      <c r="F109" s="102">
        <f t="shared" si="145"/>
        <v>3386.3999999999996</v>
      </c>
      <c r="G109" s="102">
        <f t="shared" si="145"/>
        <v>3492.7999999999997</v>
      </c>
      <c r="H109" s="102">
        <f t="shared" si="145"/>
        <v>3598.3999999999996</v>
      </c>
      <c r="I109" s="102">
        <f t="shared" si="145"/>
        <v>3704</v>
      </c>
      <c r="J109" s="102">
        <f t="shared" si="145"/>
        <v>3810.4</v>
      </c>
      <c r="K109" s="102">
        <f t="shared" si="145"/>
        <v>3916</v>
      </c>
      <c r="L109" s="102">
        <f t="shared" si="145"/>
        <v>4021.6000000000004</v>
      </c>
      <c r="M109" s="102">
        <f t="shared" si="145"/>
        <v>4128</v>
      </c>
    </row>
    <row r="110" spans="1:13" x14ac:dyDescent="0.25">
      <c r="A110" s="96"/>
      <c r="B110" s="96"/>
      <c r="C110" s="101" t="s">
        <v>20</v>
      </c>
      <c r="D110" s="103">
        <f t="shared" ref="D110:M110" si="146">ROUND(D108/2087,2)</f>
        <v>39.69</v>
      </c>
      <c r="E110" s="103">
        <f t="shared" si="146"/>
        <v>41.01</v>
      </c>
      <c r="F110" s="103">
        <f t="shared" si="146"/>
        <v>42.33</v>
      </c>
      <c r="G110" s="103">
        <f t="shared" si="146"/>
        <v>43.66</v>
      </c>
      <c r="H110" s="103">
        <f t="shared" si="146"/>
        <v>44.98</v>
      </c>
      <c r="I110" s="103">
        <f t="shared" si="146"/>
        <v>46.3</v>
      </c>
      <c r="J110" s="103">
        <f t="shared" si="146"/>
        <v>47.63</v>
      </c>
      <c r="K110" s="103">
        <f t="shared" si="146"/>
        <v>48.95</v>
      </c>
      <c r="L110" s="103">
        <f t="shared" si="146"/>
        <v>50.27</v>
      </c>
      <c r="M110" s="103">
        <f t="shared" si="146"/>
        <v>51.6</v>
      </c>
    </row>
    <row r="111" spans="1:13" x14ac:dyDescent="0.25">
      <c r="A111" s="96"/>
      <c r="B111" s="96">
        <v>26</v>
      </c>
      <c r="C111" s="105" t="s">
        <v>38</v>
      </c>
      <c r="D111" s="103">
        <f t="shared" ref="D111:M111" si="147">D112*26</f>
        <v>781.30000000000007</v>
      </c>
      <c r="E111" s="103">
        <f t="shared" si="147"/>
        <v>807.56</v>
      </c>
      <c r="F111" s="103">
        <f t="shared" si="147"/>
        <v>833.56000000000006</v>
      </c>
      <c r="G111" s="103">
        <f t="shared" si="147"/>
        <v>859.56000000000006</v>
      </c>
      <c r="H111" s="103">
        <f t="shared" si="147"/>
        <v>885.56000000000006</v>
      </c>
      <c r="I111" s="103">
        <f t="shared" si="147"/>
        <v>911.56000000000006</v>
      </c>
      <c r="J111" s="103">
        <f t="shared" si="147"/>
        <v>937.82</v>
      </c>
      <c r="K111" s="103">
        <f t="shared" si="147"/>
        <v>963.82</v>
      </c>
      <c r="L111" s="103">
        <f t="shared" si="147"/>
        <v>989.82</v>
      </c>
      <c r="M111" s="103">
        <f t="shared" si="147"/>
        <v>1015.82</v>
      </c>
    </row>
    <row r="112" spans="1:13" x14ac:dyDescent="0.25">
      <c r="A112" s="96"/>
      <c r="B112" s="96"/>
      <c r="C112" s="105" t="s">
        <v>13</v>
      </c>
      <c r="D112" s="103">
        <f t="shared" ref="D112:M112" si="148">ROUND(D108/2756,2)</f>
        <v>30.05</v>
      </c>
      <c r="E112" s="103">
        <f t="shared" si="148"/>
        <v>31.06</v>
      </c>
      <c r="F112" s="103">
        <f t="shared" si="148"/>
        <v>32.06</v>
      </c>
      <c r="G112" s="103">
        <f t="shared" si="148"/>
        <v>33.06</v>
      </c>
      <c r="H112" s="103">
        <f t="shared" si="148"/>
        <v>34.06</v>
      </c>
      <c r="I112" s="103">
        <f t="shared" si="148"/>
        <v>35.06</v>
      </c>
      <c r="J112" s="103">
        <f t="shared" si="148"/>
        <v>36.07</v>
      </c>
      <c r="K112" s="103">
        <f t="shared" si="148"/>
        <v>37.07</v>
      </c>
      <c r="L112" s="103">
        <f t="shared" si="148"/>
        <v>38.07</v>
      </c>
      <c r="M112" s="103">
        <f t="shared" si="148"/>
        <v>39.07</v>
      </c>
    </row>
    <row r="113" spans="1:13" x14ac:dyDescent="0.25">
      <c r="A113" s="96" t="s">
        <v>26</v>
      </c>
      <c r="B113" s="104">
        <f>($G$3-53)*2</f>
        <v>14</v>
      </c>
      <c r="C113" s="105" t="s">
        <v>39</v>
      </c>
      <c r="D113" s="103">
        <f t="shared" ref="D113:M113" si="149">D114*$B$12</f>
        <v>631.12</v>
      </c>
      <c r="E113" s="103">
        <f t="shared" si="149"/>
        <v>632.94000000000005</v>
      </c>
      <c r="F113" s="103">
        <f t="shared" si="149"/>
        <v>632.94000000000005</v>
      </c>
      <c r="G113" s="103">
        <f t="shared" si="149"/>
        <v>632.94000000000005</v>
      </c>
      <c r="H113" s="103">
        <f t="shared" si="149"/>
        <v>632.94000000000005</v>
      </c>
      <c r="I113" s="103">
        <f t="shared" si="149"/>
        <v>632.94000000000005</v>
      </c>
      <c r="J113" s="103">
        <f t="shared" si="149"/>
        <v>632.94000000000005</v>
      </c>
      <c r="K113" s="103">
        <f t="shared" si="149"/>
        <v>632.94000000000005</v>
      </c>
      <c r="L113" s="103">
        <f t="shared" si="149"/>
        <v>632.94000000000005</v>
      </c>
      <c r="M113" s="103">
        <f t="shared" si="149"/>
        <v>632.94000000000005</v>
      </c>
    </row>
    <row r="114" spans="1:13" x14ac:dyDescent="0.25">
      <c r="A114" s="96"/>
      <c r="B114" s="96"/>
      <c r="C114" s="105" t="s">
        <v>14</v>
      </c>
      <c r="D114" s="100">
        <f t="shared" ref="D114:M114" si="150">IF(ROUND(D112*1.5,2)&lt;$G$149,ROUND(D112*1.5,2),IF($G$149&lt;D112,D112,$G$149))</f>
        <v>45.08</v>
      </c>
      <c r="E114" s="100">
        <f t="shared" si="150"/>
        <v>45.21</v>
      </c>
      <c r="F114" s="100">
        <f t="shared" si="150"/>
        <v>45.21</v>
      </c>
      <c r="G114" s="100">
        <f t="shared" si="150"/>
        <v>45.21</v>
      </c>
      <c r="H114" s="100">
        <f t="shared" si="150"/>
        <v>45.21</v>
      </c>
      <c r="I114" s="100">
        <f t="shared" si="150"/>
        <v>45.21</v>
      </c>
      <c r="J114" s="100">
        <f t="shared" si="150"/>
        <v>45.21</v>
      </c>
      <c r="K114" s="100">
        <f t="shared" si="150"/>
        <v>45.21</v>
      </c>
      <c r="L114" s="100">
        <f t="shared" si="150"/>
        <v>45.21</v>
      </c>
      <c r="M114" s="100">
        <f t="shared" si="150"/>
        <v>45.21</v>
      </c>
    </row>
    <row r="115" spans="1:13" x14ac:dyDescent="0.25">
      <c r="A115" s="106"/>
      <c r="B115" s="106"/>
      <c r="C115" s="101" t="s">
        <v>43</v>
      </c>
      <c r="D115" s="100">
        <f>(ROUND(D110*'Start Page'!$G$32,2)*80)+(ROUND(D112*'Start Page'!$G$32,2)*($B$15-80))</f>
        <v>0</v>
      </c>
      <c r="E115" s="100">
        <f>(ROUND(E110*'Start Page'!$G$32,2)*80)+(ROUND(E112*'Start Page'!$G$32,2)*($B$15-80))</f>
        <v>0</v>
      </c>
      <c r="F115" s="100">
        <f>(ROUND(F110*'Start Page'!$G$32,2)*80)+(ROUND(F112*'Start Page'!$G$32,2)*($B$15-80))</f>
        <v>0</v>
      </c>
      <c r="G115" s="100">
        <f>(ROUND(G110*'Start Page'!$G$32,2)*80)+(ROUND(G112*'Start Page'!$G$32,2)*($B$15-80))</f>
        <v>0</v>
      </c>
      <c r="H115" s="100">
        <f>(ROUND(H110*'Start Page'!$G$32,2)*80)+(ROUND(H112*'Start Page'!$G$32,2)*($B$15-80))</f>
        <v>0</v>
      </c>
      <c r="I115" s="100">
        <f>(ROUND(I110*'Start Page'!$G$32,2)*80)+(ROUND(I112*'Start Page'!$G$32,2)*($B$15-80))</f>
        <v>0</v>
      </c>
      <c r="J115" s="100">
        <f>(ROUND(J110*'Start Page'!$G$32,2)*80)+(ROUND(J112*'Start Page'!$G$32,2)*($B$15-80))</f>
        <v>0</v>
      </c>
      <c r="K115" s="100">
        <f>(ROUND(K110*'Start Page'!$G$32,2)*80)+(ROUND(K112*'Start Page'!$G$32,2)*($B$15-80))</f>
        <v>0</v>
      </c>
      <c r="L115" s="100">
        <f>(ROUND(L110*'Start Page'!$G$32,2)*80)+(ROUND(L112*'Start Page'!$G$32,2)*($B$15-80))</f>
        <v>0</v>
      </c>
      <c r="M115" s="100">
        <f>(ROUND(M110*'Start Page'!$G$32,2)*80)+(ROUND(M112*'Start Page'!$G$32,2)*($B$15-80))</f>
        <v>0</v>
      </c>
    </row>
    <row r="116" spans="1:13" x14ac:dyDescent="0.25">
      <c r="A116" s="96"/>
      <c r="B116" s="96">
        <f>B109+B111+B113</f>
        <v>120</v>
      </c>
      <c r="C116" s="113" t="s">
        <v>17</v>
      </c>
      <c r="D116" s="131">
        <f t="shared" ref="D116:M116" si="151">D109+D111+D113+D115</f>
        <v>4587.62</v>
      </c>
      <c r="E116" s="131">
        <f t="shared" si="151"/>
        <v>4721.2999999999993</v>
      </c>
      <c r="F116" s="131">
        <f t="shared" si="151"/>
        <v>4852.8999999999996</v>
      </c>
      <c r="G116" s="131">
        <f t="shared" si="151"/>
        <v>4985.2999999999993</v>
      </c>
      <c r="H116" s="131">
        <f t="shared" si="151"/>
        <v>5116.8999999999996</v>
      </c>
      <c r="I116" s="131">
        <f t="shared" si="151"/>
        <v>5248.5</v>
      </c>
      <c r="J116" s="131">
        <f t="shared" si="151"/>
        <v>5381.16</v>
      </c>
      <c r="K116" s="131">
        <f t="shared" si="151"/>
        <v>5512.76</v>
      </c>
      <c r="L116" s="131">
        <f t="shared" si="151"/>
        <v>5644.3600000000006</v>
      </c>
      <c r="M116" s="131">
        <f t="shared" si="151"/>
        <v>5776.76</v>
      </c>
    </row>
    <row r="117" spans="1:13" x14ac:dyDescent="0.25">
      <c r="A117" s="96"/>
      <c r="B117" s="96"/>
      <c r="C117" s="113" t="s">
        <v>33</v>
      </c>
      <c r="D117" s="131">
        <f>D116*26</f>
        <v>119278.12</v>
      </c>
      <c r="E117" s="131">
        <f t="shared" ref="E117" si="152">E116*26</f>
        <v>122753.79999999999</v>
      </c>
      <c r="F117" s="131">
        <f t="shared" ref="F117" si="153">F116*26</f>
        <v>126175.4</v>
      </c>
      <c r="G117" s="131">
        <f t="shared" ref="G117" si="154">G116*26</f>
        <v>129617.79999999999</v>
      </c>
      <c r="H117" s="131">
        <f t="shared" ref="H117" si="155">H116*26</f>
        <v>133039.4</v>
      </c>
      <c r="I117" s="131">
        <f t="shared" ref="I117" si="156">I116*26</f>
        <v>136461</v>
      </c>
      <c r="J117" s="131">
        <f t="shared" ref="J117" si="157">J116*26</f>
        <v>139910.16</v>
      </c>
      <c r="K117" s="131">
        <f t="shared" ref="K117" si="158">K116*26</f>
        <v>143331.76</v>
      </c>
      <c r="L117" s="131">
        <f t="shared" ref="L117" si="159">L116*26</f>
        <v>146753.36000000002</v>
      </c>
      <c r="M117" s="131">
        <f t="shared" ref="M117" si="160">M116*26</f>
        <v>150195.76</v>
      </c>
    </row>
    <row r="118" spans="1:13" s="129" customFormat="1" x14ac:dyDescent="0.25">
      <c r="A118" s="110"/>
      <c r="B118" s="110"/>
      <c r="C118" s="111" t="s">
        <v>66</v>
      </c>
      <c r="D118" s="132">
        <f>((D110*80)+(D112*($B$15-80)))*26</f>
        <v>113807.2</v>
      </c>
      <c r="E118" s="132">
        <f t="shared" ref="E118:M118" si="161">((E110*80)+(E112*($B$15-80)))*26</f>
        <v>117603.2</v>
      </c>
      <c r="F118" s="132">
        <f t="shared" si="161"/>
        <v>121388.79999999999</v>
      </c>
      <c r="G118" s="132">
        <f t="shared" si="161"/>
        <v>125195.2</v>
      </c>
      <c r="H118" s="132">
        <f t="shared" si="161"/>
        <v>128980.79999999999</v>
      </c>
      <c r="I118" s="132">
        <f t="shared" si="161"/>
        <v>132766.39999999999</v>
      </c>
      <c r="J118" s="132">
        <f t="shared" si="161"/>
        <v>136583.19999999998</v>
      </c>
      <c r="K118" s="132">
        <f t="shared" si="161"/>
        <v>140368.80000000002</v>
      </c>
      <c r="L118" s="132">
        <f t="shared" si="161"/>
        <v>144154.40000000002</v>
      </c>
      <c r="M118" s="114">
        <f t="shared" si="161"/>
        <v>147960.80000000002</v>
      </c>
    </row>
    <row r="119" spans="1:13" s="129" customFormat="1" x14ac:dyDescent="0.25">
      <c r="A119" s="95"/>
      <c r="B119" s="95"/>
      <c r="C119" s="126" t="s">
        <v>30</v>
      </c>
      <c r="D119" s="102">
        <f>'GS Pay Scale'!B19</f>
        <v>98496</v>
      </c>
      <c r="E119" s="102">
        <f>'GS Pay Scale'!C19</f>
        <v>101779</v>
      </c>
      <c r="F119" s="102">
        <f>'GS Pay Scale'!D19</f>
        <v>105062</v>
      </c>
      <c r="G119" s="102">
        <f>'GS Pay Scale'!E19</f>
        <v>108345</v>
      </c>
      <c r="H119" s="102">
        <f>'GS Pay Scale'!F19</f>
        <v>111628</v>
      </c>
      <c r="I119" s="102">
        <f>'GS Pay Scale'!G19</f>
        <v>114911</v>
      </c>
      <c r="J119" s="102">
        <f>'GS Pay Scale'!H19</f>
        <v>118194</v>
      </c>
      <c r="K119" s="102">
        <f>'GS Pay Scale'!I19</f>
        <v>121477</v>
      </c>
      <c r="L119" s="102">
        <f>'GS Pay Scale'!J19</f>
        <v>124760</v>
      </c>
      <c r="M119" s="102">
        <f>'GS Pay Scale'!K19</f>
        <v>128043</v>
      </c>
    </row>
    <row r="120" spans="1:13" s="129" customFormat="1" x14ac:dyDescent="0.25">
      <c r="A120" s="96"/>
      <c r="B120" s="96">
        <v>80</v>
      </c>
      <c r="C120" s="101" t="s">
        <v>41</v>
      </c>
      <c r="D120" s="102">
        <f t="shared" ref="D120:M120" si="162">D121*80</f>
        <v>3776</v>
      </c>
      <c r="E120" s="102">
        <f t="shared" si="162"/>
        <v>3901.6000000000004</v>
      </c>
      <c r="F120" s="102">
        <f t="shared" si="162"/>
        <v>4027.2000000000003</v>
      </c>
      <c r="G120" s="102">
        <f t="shared" si="162"/>
        <v>4152.7999999999993</v>
      </c>
      <c r="H120" s="102">
        <f t="shared" si="162"/>
        <v>4279.2</v>
      </c>
      <c r="I120" s="102">
        <f t="shared" si="162"/>
        <v>4404.8</v>
      </c>
      <c r="J120" s="102">
        <f t="shared" si="162"/>
        <v>4530.4000000000005</v>
      </c>
      <c r="K120" s="102">
        <f t="shared" si="162"/>
        <v>4656.8</v>
      </c>
      <c r="L120" s="102">
        <f t="shared" si="162"/>
        <v>4782.3999999999996</v>
      </c>
      <c r="M120" s="102">
        <f t="shared" si="162"/>
        <v>4908</v>
      </c>
    </row>
    <row r="121" spans="1:13" s="129" customFormat="1" x14ac:dyDescent="0.25">
      <c r="A121" s="96"/>
      <c r="B121" s="96"/>
      <c r="C121" s="101" t="s">
        <v>20</v>
      </c>
      <c r="D121" s="103">
        <f t="shared" ref="D121:M121" si="163">ROUND(D119/2087,2)</f>
        <v>47.2</v>
      </c>
      <c r="E121" s="103">
        <f t="shared" si="163"/>
        <v>48.77</v>
      </c>
      <c r="F121" s="103">
        <f t="shared" si="163"/>
        <v>50.34</v>
      </c>
      <c r="G121" s="103">
        <f t="shared" si="163"/>
        <v>51.91</v>
      </c>
      <c r="H121" s="103">
        <f t="shared" si="163"/>
        <v>53.49</v>
      </c>
      <c r="I121" s="103">
        <f t="shared" si="163"/>
        <v>55.06</v>
      </c>
      <c r="J121" s="103">
        <f t="shared" si="163"/>
        <v>56.63</v>
      </c>
      <c r="K121" s="103">
        <f t="shared" si="163"/>
        <v>58.21</v>
      </c>
      <c r="L121" s="103">
        <f t="shared" si="163"/>
        <v>59.78</v>
      </c>
      <c r="M121" s="103">
        <f t="shared" si="163"/>
        <v>61.35</v>
      </c>
    </row>
    <row r="122" spans="1:13" s="129" customFormat="1" x14ac:dyDescent="0.25">
      <c r="A122" s="96"/>
      <c r="B122" s="96">
        <v>26</v>
      </c>
      <c r="C122" s="105" t="s">
        <v>38</v>
      </c>
      <c r="D122" s="103">
        <f t="shared" ref="D122:M122" si="164">D123*26</f>
        <v>929.24</v>
      </c>
      <c r="E122" s="103">
        <f t="shared" si="164"/>
        <v>960.18</v>
      </c>
      <c r="F122" s="103">
        <f t="shared" si="164"/>
        <v>991.11999999999989</v>
      </c>
      <c r="G122" s="103">
        <f t="shared" si="164"/>
        <v>1022.0600000000001</v>
      </c>
      <c r="H122" s="103">
        <f t="shared" si="164"/>
        <v>1053</v>
      </c>
      <c r="I122" s="103">
        <f t="shared" si="164"/>
        <v>1083.94</v>
      </c>
      <c r="J122" s="103">
        <f t="shared" si="164"/>
        <v>1115.1400000000001</v>
      </c>
      <c r="K122" s="103">
        <f t="shared" si="164"/>
        <v>1146.08</v>
      </c>
      <c r="L122" s="103">
        <f t="shared" si="164"/>
        <v>1177.02</v>
      </c>
      <c r="M122" s="103">
        <f t="shared" si="164"/>
        <v>1207.96</v>
      </c>
    </row>
    <row r="123" spans="1:13" s="129" customFormat="1" x14ac:dyDescent="0.25">
      <c r="A123" s="96"/>
      <c r="B123" s="96"/>
      <c r="C123" s="105" t="s">
        <v>13</v>
      </c>
      <c r="D123" s="103">
        <f t="shared" ref="D123:M123" si="165">ROUND(D119/2756,2)</f>
        <v>35.74</v>
      </c>
      <c r="E123" s="103">
        <f t="shared" si="165"/>
        <v>36.93</v>
      </c>
      <c r="F123" s="103">
        <f t="shared" si="165"/>
        <v>38.119999999999997</v>
      </c>
      <c r="G123" s="103">
        <f t="shared" si="165"/>
        <v>39.31</v>
      </c>
      <c r="H123" s="103">
        <f t="shared" si="165"/>
        <v>40.5</v>
      </c>
      <c r="I123" s="103">
        <f t="shared" si="165"/>
        <v>41.69</v>
      </c>
      <c r="J123" s="103">
        <f t="shared" si="165"/>
        <v>42.89</v>
      </c>
      <c r="K123" s="103">
        <f t="shared" si="165"/>
        <v>44.08</v>
      </c>
      <c r="L123" s="103">
        <f t="shared" si="165"/>
        <v>45.27</v>
      </c>
      <c r="M123" s="103">
        <f t="shared" si="165"/>
        <v>46.46</v>
      </c>
    </row>
    <row r="124" spans="1:13" s="129" customFormat="1" x14ac:dyDescent="0.25">
      <c r="A124" s="96" t="s">
        <v>31</v>
      </c>
      <c r="B124" s="104">
        <f>($G$3-53)*2</f>
        <v>14</v>
      </c>
      <c r="C124" s="105" t="s">
        <v>39</v>
      </c>
      <c r="D124" s="103">
        <f t="shared" ref="D124:M124" si="166">D125*$B$12</f>
        <v>632.94000000000005</v>
      </c>
      <c r="E124" s="103">
        <f t="shared" si="166"/>
        <v>632.94000000000005</v>
      </c>
      <c r="F124" s="103">
        <f t="shared" si="166"/>
        <v>632.94000000000005</v>
      </c>
      <c r="G124" s="103">
        <f t="shared" si="166"/>
        <v>632.94000000000005</v>
      </c>
      <c r="H124" s="103">
        <f t="shared" si="166"/>
        <v>632.94000000000005</v>
      </c>
      <c r="I124" s="103">
        <f t="shared" si="166"/>
        <v>632.94000000000005</v>
      </c>
      <c r="J124" s="103">
        <f t="shared" si="166"/>
        <v>632.94000000000005</v>
      </c>
      <c r="K124" s="103">
        <f t="shared" si="166"/>
        <v>632.94000000000005</v>
      </c>
      <c r="L124" s="103">
        <f t="shared" si="166"/>
        <v>633.78000000000009</v>
      </c>
      <c r="M124" s="103">
        <f t="shared" si="166"/>
        <v>650.44000000000005</v>
      </c>
    </row>
    <row r="125" spans="1:13" s="129" customFormat="1" x14ac:dyDescent="0.25">
      <c r="A125" s="96"/>
      <c r="B125" s="96"/>
      <c r="C125" s="105" t="s">
        <v>14</v>
      </c>
      <c r="D125" s="100">
        <f t="shared" ref="D125:M125" si="167">IF(ROUND(D123*1.5,2)&lt;$G$149,ROUND(D123*1.5,2),IF($G$149&lt;D123,D123,$G$149))</f>
        <v>45.21</v>
      </c>
      <c r="E125" s="100">
        <f t="shared" si="167"/>
        <v>45.21</v>
      </c>
      <c r="F125" s="100">
        <f t="shared" si="167"/>
        <v>45.21</v>
      </c>
      <c r="G125" s="100">
        <f t="shared" si="167"/>
        <v>45.21</v>
      </c>
      <c r="H125" s="100">
        <f t="shared" si="167"/>
        <v>45.21</v>
      </c>
      <c r="I125" s="100">
        <f t="shared" si="167"/>
        <v>45.21</v>
      </c>
      <c r="J125" s="100">
        <f t="shared" si="167"/>
        <v>45.21</v>
      </c>
      <c r="K125" s="100">
        <f t="shared" si="167"/>
        <v>45.21</v>
      </c>
      <c r="L125" s="100">
        <f t="shared" si="167"/>
        <v>45.27</v>
      </c>
      <c r="M125" s="100">
        <f t="shared" si="167"/>
        <v>46.46</v>
      </c>
    </row>
    <row r="126" spans="1:13" s="129" customFormat="1" x14ac:dyDescent="0.25">
      <c r="A126" s="106"/>
      <c r="B126" s="106"/>
      <c r="C126" s="101" t="s">
        <v>43</v>
      </c>
      <c r="D126" s="100">
        <f>(ROUND(D121*'Start Page'!$G$32,2)*80)+(ROUND(D123*'Start Page'!$G$32,2)*($B$15-80))</f>
        <v>0</v>
      </c>
      <c r="E126" s="100">
        <f>(ROUND(E121*'Start Page'!$G$32,2)*80)+(ROUND(E123*'Start Page'!$G$32,2)*($B$15-80))</f>
        <v>0</v>
      </c>
      <c r="F126" s="100">
        <f>(ROUND(F121*'Start Page'!$G$32,2)*80)+(ROUND(F123*'Start Page'!$G$32,2)*($B$15-80))</f>
        <v>0</v>
      </c>
      <c r="G126" s="100">
        <f>(ROUND(G121*'Start Page'!$G$32,2)*80)+(ROUND(G123*'Start Page'!$G$32,2)*($B$15-80))</f>
        <v>0</v>
      </c>
      <c r="H126" s="100">
        <f>(ROUND(H121*'Start Page'!$G$32,2)*80)+(ROUND(H123*'Start Page'!$G$32,2)*($B$15-80))</f>
        <v>0</v>
      </c>
      <c r="I126" s="100">
        <f>(ROUND(I121*'Start Page'!$G$32,2)*80)+(ROUND(I123*'Start Page'!$G$32,2)*($B$15-80))</f>
        <v>0</v>
      </c>
      <c r="J126" s="100">
        <f>(ROUND(J121*'Start Page'!$G$32,2)*80)+(ROUND(J123*'Start Page'!$G$32,2)*($B$15-80))</f>
        <v>0</v>
      </c>
      <c r="K126" s="100">
        <f>(ROUND(K121*'Start Page'!$G$32,2)*80)+(ROUND(K123*'Start Page'!$G$32,2)*($B$15-80))</f>
        <v>0</v>
      </c>
      <c r="L126" s="100">
        <f>(ROUND(L121*'Start Page'!$G$32,2)*80)+(ROUND(L123*'Start Page'!$G$32,2)*($B$15-80))</f>
        <v>0</v>
      </c>
      <c r="M126" s="100">
        <f>(ROUND(M121*'Start Page'!$G$32,2)*80)+(ROUND(M123*'Start Page'!$G$32,2)*($B$15-80))</f>
        <v>0</v>
      </c>
    </row>
    <row r="127" spans="1:13" s="129" customFormat="1" x14ac:dyDescent="0.25">
      <c r="A127" s="96"/>
      <c r="B127" s="96">
        <f>B120+B122+B124</f>
        <v>120</v>
      </c>
      <c r="C127" s="113" t="s">
        <v>17</v>
      </c>
      <c r="D127" s="131">
        <f t="shared" ref="D127:M127" si="168">D120+D122+D124+D126</f>
        <v>5338.18</v>
      </c>
      <c r="E127" s="131">
        <f t="shared" si="168"/>
        <v>5494.7200000000012</v>
      </c>
      <c r="F127" s="131">
        <f t="shared" si="168"/>
        <v>5651.26</v>
      </c>
      <c r="G127" s="131">
        <f t="shared" si="168"/>
        <v>5807.7999999999993</v>
      </c>
      <c r="H127" s="131">
        <f t="shared" si="168"/>
        <v>5965.1399999999994</v>
      </c>
      <c r="I127" s="131">
        <f t="shared" si="168"/>
        <v>6121.68</v>
      </c>
      <c r="J127" s="131">
        <f t="shared" si="168"/>
        <v>6278.4800000000014</v>
      </c>
      <c r="K127" s="131">
        <f t="shared" si="168"/>
        <v>6435.82</v>
      </c>
      <c r="L127" s="131">
        <f t="shared" si="168"/>
        <v>6593.2</v>
      </c>
      <c r="M127" s="131">
        <f t="shared" si="168"/>
        <v>6766.4</v>
      </c>
    </row>
    <row r="128" spans="1:13" s="129" customFormat="1" x14ac:dyDescent="0.25">
      <c r="A128" s="96"/>
      <c r="B128" s="96"/>
      <c r="C128" s="113" t="s">
        <v>33</v>
      </c>
      <c r="D128" s="131">
        <f>D127*26</f>
        <v>138792.68</v>
      </c>
      <c r="E128" s="131">
        <f t="shared" ref="E128" si="169">E127*26</f>
        <v>142862.72000000003</v>
      </c>
      <c r="F128" s="131">
        <f t="shared" ref="F128" si="170">F127*26</f>
        <v>146932.76</v>
      </c>
      <c r="G128" s="131">
        <f t="shared" ref="G128" si="171">G127*26</f>
        <v>151002.79999999999</v>
      </c>
      <c r="H128" s="131">
        <f t="shared" ref="H128" si="172">H127*26</f>
        <v>155093.63999999998</v>
      </c>
      <c r="I128" s="131">
        <f t="shared" ref="I128" si="173">I127*26</f>
        <v>159163.68</v>
      </c>
      <c r="J128" s="131">
        <f t="shared" ref="J128" si="174">J127*26</f>
        <v>163240.48000000004</v>
      </c>
      <c r="K128" s="131">
        <f t="shared" ref="K128" si="175">K127*26</f>
        <v>167331.32</v>
      </c>
      <c r="L128" s="131">
        <f t="shared" ref="L128" si="176">L127*26</f>
        <v>171423.19999999998</v>
      </c>
      <c r="M128" s="131">
        <f t="shared" ref="M128" si="177">M127*26</f>
        <v>175926.39999999999</v>
      </c>
    </row>
    <row r="129" spans="1:13" s="129" customFormat="1" x14ac:dyDescent="0.25">
      <c r="A129" s="110"/>
      <c r="B129" s="110"/>
      <c r="C129" s="111" t="s">
        <v>66</v>
      </c>
      <c r="D129" s="132">
        <f>((D121*80)+(D123*($B$15-80)))*26</f>
        <v>135345.60000000001</v>
      </c>
      <c r="E129" s="132">
        <f t="shared" ref="E129:M129" si="178">((E121*80)+(E123*($B$15-80)))*26</f>
        <v>139848.80000000002</v>
      </c>
      <c r="F129" s="132">
        <f t="shared" si="178"/>
        <v>144352</v>
      </c>
      <c r="G129" s="132">
        <f t="shared" si="178"/>
        <v>148855.19999999998</v>
      </c>
      <c r="H129" s="132">
        <f t="shared" si="178"/>
        <v>153379.19999999998</v>
      </c>
      <c r="I129" s="132">
        <f t="shared" si="178"/>
        <v>157882.4</v>
      </c>
      <c r="J129" s="132">
        <f t="shared" si="178"/>
        <v>162396</v>
      </c>
      <c r="K129" s="132">
        <f t="shared" si="178"/>
        <v>166920</v>
      </c>
      <c r="L129" s="132">
        <f t="shared" si="178"/>
        <v>171423.19999999998</v>
      </c>
      <c r="M129" s="114">
        <f t="shared" si="178"/>
        <v>175926.39999999999</v>
      </c>
    </row>
    <row r="130" spans="1:13" x14ac:dyDescent="0.25">
      <c r="A130" s="95"/>
      <c r="B130" s="95"/>
      <c r="C130" s="126" t="s">
        <v>30</v>
      </c>
      <c r="D130" s="102">
        <f>'GS Pay Scale'!B20</f>
        <v>116393</v>
      </c>
      <c r="E130" s="102">
        <f>'GS Pay Scale'!C20</f>
        <v>120272</v>
      </c>
      <c r="F130" s="102">
        <f>'GS Pay Scale'!D20</f>
        <v>124152</v>
      </c>
      <c r="G130" s="102">
        <f>'GS Pay Scale'!E20</f>
        <v>128031</v>
      </c>
      <c r="H130" s="102">
        <f>'GS Pay Scale'!F20</f>
        <v>131911</v>
      </c>
      <c r="I130" s="102">
        <f>'GS Pay Scale'!G20</f>
        <v>135790</v>
      </c>
      <c r="J130" s="102">
        <f>'GS Pay Scale'!H20</f>
        <v>139670</v>
      </c>
      <c r="K130" s="102">
        <f>'GS Pay Scale'!I20</f>
        <v>143549</v>
      </c>
      <c r="L130" s="102">
        <f>'GS Pay Scale'!J20</f>
        <v>147428</v>
      </c>
      <c r="M130" s="102">
        <f>'GS Pay Scale'!K20</f>
        <v>151308</v>
      </c>
    </row>
    <row r="131" spans="1:13" x14ac:dyDescent="0.25">
      <c r="A131" s="96"/>
      <c r="B131" s="96">
        <v>80</v>
      </c>
      <c r="C131" s="101" t="s">
        <v>41</v>
      </c>
      <c r="D131" s="102">
        <f t="shared" ref="D131:M131" si="179">D132*80</f>
        <v>4461.6000000000004</v>
      </c>
      <c r="E131" s="102">
        <f t="shared" si="179"/>
        <v>4610.4000000000005</v>
      </c>
      <c r="F131" s="102">
        <f t="shared" si="179"/>
        <v>4759.2</v>
      </c>
      <c r="G131" s="102">
        <f t="shared" si="179"/>
        <v>4908</v>
      </c>
      <c r="H131" s="102">
        <f t="shared" si="179"/>
        <v>5056.8</v>
      </c>
      <c r="I131" s="102">
        <f t="shared" si="179"/>
        <v>5204.8</v>
      </c>
      <c r="J131" s="102">
        <f t="shared" si="179"/>
        <v>5353.6</v>
      </c>
      <c r="K131" s="102">
        <f t="shared" si="179"/>
        <v>5502.4</v>
      </c>
      <c r="L131" s="102">
        <f t="shared" si="179"/>
        <v>5651.2</v>
      </c>
      <c r="M131" s="102">
        <f t="shared" si="179"/>
        <v>5800</v>
      </c>
    </row>
    <row r="132" spans="1:13" x14ac:dyDescent="0.25">
      <c r="A132" s="96"/>
      <c r="B132" s="96"/>
      <c r="C132" s="101" t="s">
        <v>20</v>
      </c>
      <c r="D132" s="103">
        <f t="shared" ref="D132:M132" si="180">ROUND(D130/2087,2)</f>
        <v>55.77</v>
      </c>
      <c r="E132" s="103">
        <f t="shared" si="180"/>
        <v>57.63</v>
      </c>
      <c r="F132" s="103">
        <f t="shared" si="180"/>
        <v>59.49</v>
      </c>
      <c r="G132" s="103">
        <f t="shared" si="180"/>
        <v>61.35</v>
      </c>
      <c r="H132" s="103">
        <f t="shared" si="180"/>
        <v>63.21</v>
      </c>
      <c r="I132" s="103">
        <f t="shared" si="180"/>
        <v>65.06</v>
      </c>
      <c r="J132" s="103">
        <f t="shared" si="180"/>
        <v>66.92</v>
      </c>
      <c r="K132" s="103">
        <f t="shared" si="180"/>
        <v>68.78</v>
      </c>
      <c r="L132" s="103">
        <f t="shared" si="180"/>
        <v>70.64</v>
      </c>
      <c r="M132" s="103">
        <f t="shared" si="180"/>
        <v>72.5</v>
      </c>
    </row>
    <row r="133" spans="1:13" x14ac:dyDescent="0.25">
      <c r="A133" s="96"/>
      <c r="B133" s="96">
        <v>26</v>
      </c>
      <c r="C133" s="105" t="s">
        <v>38</v>
      </c>
      <c r="D133" s="103">
        <f t="shared" ref="D133:M133" si="181">D134*26</f>
        <v>1097.98</v>
      </c>
      <c r="E133" s="103">
        <f t="shared" si="181"/>
        <v>1134.6400000000001</v>
      </c>
      <c r="F133" s="103">
        <f t="shared" si="181"/>
        <v>1171.3</v>
      </c>
      <c r="G133" s="103">
        <f t="shared" si="181"/>
        <v>1207.96</v>
      </c>
      <c r="H133" s="103">
        <f t="shared" si="181"/>
        <v>1244.3599999999999</v>
      </c>
      <c r="I133" s="103">
        <f t="shared" si="181"/>
        <v>1281.02</v>
      </c>
      <c r="J133" s="103">
        <f t="shared" si="181"/>
        <v>1317.68</v>
      </c>
      <c r="K133" s="103">
        <f t="shared" si="181"/>
        <v>1354.3400000000001</v>
      </c>
      <c r="L133" s="103">
        <f t="shared" si="181"/>
        <v>1390.74</v>
      </c>
      <c r="M133" s="103">
        <f t="shared" si="181"/>
        <v>1427.3999999999999</v>
      </c>
    </row>
    <row r="134" spans="1:13" x14ac:dyDescent="0.25">
      <c r="A134" s="96"/>
      <c r="B134" s="96"/>
      <c r="C134" s="105" t="s">
        <v>13</v>
      </c>
      <c r="D134" s="103">
        <f t="shared" ref="D134:M134" si="182">ROUND(D130/2756,2)</f>
        <v>42.23</v>
      </c>
      <c r="E134" s="103">
        <f t="shared" si="182"/>
        <v>43.64</v>
      </c>
      <c r="F134" s="103">
        <f t="shared" si="182"/>
        <v>45.05</v>
      </c>
      <c r="G134" s="103">
        <f t="shared" si="182"/>
        <v>46.46</v>
      </c>
      <c r="H134" s="103">
        <f t="shared" si="182"/>
        <v>47.86</v>
      </c>
      <c r="I134" s="103">
        <f t="shared" si="182"/>
        <v>49.27</v>
      </c>
      <c r="J134" s="103">
        <f t="shared" si="182"/>
        <v>50.68</v>
      </c>
      <c r="K134" s="103">
        <f t="shared" si="182"/>
        <v>52.09</v>
      </c>
      <c r="L134" s="103">
        <f t="shared" si="182"/>
        <v>53.49</v>
      </c>
      <c r="M134" s="103">
        <f t="shared" si="182"/>
        <v>54.9</v>
      </c>
    </row>
    <row r="135" spans="1:13" x14ac:dyDescent="0.25">
      <c r="A135" s="96" t="s">
        <v>101</v>
      </c>
      <c r="B135" s="104">
        <f>($G$3-53)*2</f>
        <v>14</v>
      </c>
      <c r="C135" s="105" t="s">
        <v>39</v>
      </c>
      <c r="D135" s="103">
        <f t="shared" ref="D135:M135" si="183">D136*$B$12</f>
        <v>632.94000000000005</v>
      </c>
      <c r="E135" s="103">
        <f t="shared" si="183"/>
        <v>632.94000000000005</v>
      </c>
      <c r="F135" s="103">
        <f t="shared" si="183"/>
        <v>632.94000000000005</v>
      </c>
      <c r="G135" s="103">
        <f t="shared" si="183"/>
        <v>650.44000000000005</v>
      </c>
      <c r="H135" s="103">
        <f t="shared" si="183"/>
        <v>670.04</v>
      </c>
      <c r="I135" s="103">
        <f t="shared" si="183"/>
        <v>689.78000000000009</v>
      </c>
      <c r="J135" s="103">
        <f t="shared" si="183"/>
        <v>709.52</v>
      </c>
      <c r="K135" s="103">
        <f t="shared" si="183"/>
        <v>729.26</v>
      </c>
      <c r="L135" s="103">
        <f t="shared" si="183"/>
        <v>748.86</v>
      </c>
      <c r="M135" s="103">
        <f t="shared" si="183"/>
        <v>768.6</v>
      </c>
    </row>
    <row r="136" spans="1:13" x14ac:dyDescent="0.25">
      <c r="A136" s="96"/>
      <c r="B136" s="96"/>
      <c r="C136" s="105" t="s">
        <v>14</v>
      </c>
      <c r="D136" s="100">
        <f t="shared" ref="D136:M136" si="184">IF(ROUND(D134*1.5,2)&lt;$G$149,ROUND(D134*1.5,2),IF($G$149&lt;D134,D134,$G$149))</f>
        <v>45.21</v>
      </c>
      <c r="E136" s="100">
        <f t="shared" si="184"/>
        <v>45.21</v>
      </c>
      <c r="F136" s="100">
        <f t="shared" si="184"/>
        <v>45.21</v>
      </c>
      <c r="G136" s="100">
        <f t="shared" si="184"/>
        <v>46.46</v>
      </c>
      <c r="H136" s="100">
        <f t="shared" si="184"/>
        <v>47.86</v>
      </c>
      <c r="I136" s="100">
        <f t="shared" si="184"/>
        <v>49.27</v>
      </c>
      <c r="J136" s="100">
        <f t="shared" si="184"/>
        <v>50.68</v>
      </c>
      <c r="K136" s="100">
        <f t="shared" si="184"/>
        <v>52.09</v>
      </c>
      <c r="L136" s="100">
        <f t="shared" si="184"/>
        <v>53.49</v>
      </c>
      <c r="M136" s="100">
        <f t="shared" si="184"/>
        <v>54.9</v>
      </c>
    </row>
    <row r="137" spans="1:13" x14ac:dyDescent="0.25">
      <c r="A137" s="106"/>
      <c r="B137" s="106"/>
      <c r="C137" s="101" t="s">
        <v>43</v>
      </c>
      <c r="D137" s="100">
        <f>(ROUND(D132*'Start Page'!$G$32,2)*80)+(ROUND(D134*'Start Page'!$G$32,2)*($B$15-80))</f>
        <v>0</v>
      </c>
      <c r="E137" s="100">
        <f>(ROUND(E132*'Start Page'!$G$32,2)*80)+(ROUND(E134*'Start Page'!$G$32,2)*($B$15-80))</f>
        <v>0</v>
      </c>
      <c r="F137" s="100">
        <f>(ROUND(F132*'Start Page'!$G$32,2)*80)+(ROUND(F134*'Start Page'!$G$32,2)*($B$15-80))</f>
        <v>0</v>
      </c>
      <c r="G137" s="100">
        <f>(ROUND(G132*'Start Page'!$G$32,2)*80)+(ROUND(G134*'Start Page'!$G$32,2)*($B$15-80))</f>
        <v>0</v>
      </c>
      <c r="H137" s="100">
        <f>(ROUND(H132*'Start Page'!$G$32,2)*80)+(ROUND(H134*'Start Page'!$G$32,2)*($B$15-80))</f>
        <v>0</v>
      </c>
      <c r="I137" s="100">
        <f>(ROUND(I132*'Start Page'!$G$32,2)*80)+(ROUND(I134*'Start Page'!$G$32,2)*($B$15-80))</f>
        <v>0</v>
      </c>
      <c r="J137" s="100">
        <f>(ROUND(J132*'Start Page'!$G$32,2)*80)+(ROUND(J134*'Start Page'!$G$32,2)*($B$15-80))</f>
        <v>0</v>
      </c>
      <c r="K137" s="100">
        <f>(ROUND(K132*'Start Page'!$G$32,2)*80)+(ROUND(K134*'Start Page'!$G$32,2)*($B$15-80))</f>
        <v>0</v>
      </c>
      <c r="L137" s="100">
        <f>(ROUND(L132*'Start Page'!$G$32,2)*80)+(ROUND(L134*'Start Page'!$G$32,2)*($B$15-80))</f>
        <v>0</v>
      </c>
      <c r="M137" s="100">
        <f>(ROUND(M132*'Start Page'!$G$32,2)*80)+(ROUND(M134*'Start Page'!$G$32,2)*($B$15-80))</f>
        <v>0</v>
      </c>
    </row>
    <row r="138" spans="1:13" x14ac:dyDescent="0.25">
      <c r="A138" s="96"/>
      <c r="B138" s="96">
        <f>B131+B133+B135</f>
        <v>120</v>
      </c>
      <c r="C138" s="113" t="s">
        <v>17</v>
      </c>
      <c r="D138" s="131">
        <f t="shared" ref="D138:M138" si="185">D131+D133+D135+D137</f>
        <v>6192.52</v>
      </c>
      <c r="E138" s="131">
        <f t="shared" si="185"/>
        <v>6377.9800000000014</v>
      </c>
      <c r="F138" s="131">
        <f t="shared" si="185"/>
        <v>6563.4400000000005</v>
      </c>
      <c r="G138" s="131">
        <f t="shared" si="185"/>
        <v>6766.4</v>
      </c>
      <c r="H138" s="131">
        <f t="shared" si="185"/>
        <v>6971.2</v>
      </c>
      <c r="I138" s="131">
        <f t="shared" si="185"/>
        <v>7175.5999999999995</v>
      </c>
      <c r="J138" s="131">
        <f t="shared" si="185"/>
        <v>7380.8000000000011</v>
      </c>
      <c r="K138" s="131">
        <f t="shared" si="185"/>
        <v>7586</v>
      </c>
      <c r="L138" s="131">
        <f t="shared" si="185"/>
        <v>7790.7999999999993</v>
      </c>
      <c r="M138" s="131">
        <f t="shared" si="185"/>
        <v>7996</v>
      </c>
    </row>
    <row r="139" spans="1:13" x14ac:dyDescent="0.25">
      <c r="A139" s="96"/>
      <c r="B139" s="96"/>
      <c r="C139" s="113" t="s">
        <v>33</v>
      </c>
      <c r="D139" s="131">
        <f>D138*26</f>
        <v>161005.52000000002</v>
      </c>
      <c r="E139" s="131">
        <f t="shared" ref="E139" si="186">E138*26</f>
        <v>165827.48000000004</v>
      </c>
      <c r="F139" s="131">
        <f t="shared" ref="F139" si="187">F138*26</f>
        <v>170649.44</v>
      </c>
      <c r="G139" s="131">
        <f t="shared" ref="G139" si="188">G138*26</f>
        <v>175926.39999999999</v>
      </c>
      <c r="H139" s="131">
        <f t="shared" ref="H139" si="189">H138*26</f>
        <v>181251.19999999998</v>
      </c>
      <c r="I139" s="131">
        <f t="shared" ref="I139" si="190">I138*26</f>
        <v>186565.59999999998</v>
      </c>
      <c r="J139" s="131">
        <f t="shared" ref="J139" si="191">J138*26</f>
        <v>191900.80000000002</v>
      </c>
      <c r="K139" s="131">
        <f t="shared" ref="K139" si="192">K138*26</f>
        <v>197236</v>
      </c>
      <c r="L139" s="131">
        <f t="shared" ref="L139" si="193">L138*26</f>
        <v>202560.8</v>
      </c>
      <c r="M139" s="131">
        <f t="shared" ref="M139" si="194">M138*26</f>
        <v>207896</v>
      </c>
    </row>
    <row r="140" spans="1:13" s="129" customFormat="1" x14ac:dyDescent="0.25">
      <c r="A140" s="110"/>
      <c r="B140" s="110"/>
      <c r="C140" s="111" t="s">
        <v>66</v>
      </c>
      <c r="D140" s="132">
        <f>((D132*80)+(D134*($B$15-80)))*26</f>
        <v>159920.80000000002</v>
      </c>
      <c r="E140" s="132">
        <f t="shared" ref="E140:M140" si="195">((E132*80)+(E134*($B$15-80)))*26</f>
        <v>165256</v>
      </c>
      <c r="F140" s="132">
        <f t="shared" si="195"/>
        <v>170591.19999999998</v>
      </c>
      <c r="G140" s="132">
        <f t="shared" si="195"/>
        <v>175926.39999999999</v>
      </c>
      <c r="H140" s="132">
        <f t="shared" si="195"/>
        <v>181251.20000000001</v>
      </c>
      <c r="I140" s="132">
        <f t="shared" si="195"/>
        <v>186565.6</v>
      </c>
      <c r="J140" s="132">
        <f t="shared" si="195"/>
        <v>191900.80000000002</v>
      </c>
      <c r="K140" s="132">
        <f t="shared" si="195"/>
        <v>197236</v>
      </c>
      <c r="L140" s="132">
        <f t="shared" si="195"/>
        <v>202560.8</v>
      </c>
      <c r="M140" s="114">
        <f t="shared" si="195"/>
        <v>207896</v>
      </c>
    </row>
    <row r="141" spans="1:13" x14ac:dyDescent="0.25">
      <c r="A141" s="79"/>
      <c r="B141" s="79"/>
      <c r="C141" s="79"/>
      <c r="D141" s="79"/>
      <c r="E141" s="79"/>
      <c r="F141" s="79"/>
      <c r="G141" s="79"/>
      <c r="H141" s="79"/>
      <c r="I141" s="79"/>
      <c r="J141" s="79"/>
      <c r="K141" s="79"/>
      <c r="L141" s="79"/>
      <c r="M141" s="134"/>
    </row>
    <row r="142" spans="1:13" x14ac:dyDescent="0.25">
      <c r="A142" s="79"/>
      <c r="B142" s="79"/>
      <c r="C142" s="79"/>
      <c r="D142" s="79"/>
      <c r="E142" s="79"/>
      <c r="F142" s="79"/>
      <c r="G142" s="79"/>
      <c r="H142" s="79"/>
      <c r="I142" s="79"/>
      <c r="J142" s="79"/>
      <c r="K142" s="79"/>
      <c r="L142" s="79"/>
      <c r="M142" s="79"/>
    </row>
    <row r="143" spans="1:13" x14ac:dyDescent="0.25">
      <c r="A143" s="91" t="s">
        <v>70</v>
      </c>
      <c r="B143" s="91"/>
      <c r="C143" s="79"/>
      <c r="D143" s="79"/>
      <c r="E143" s="79"/>
      <c r="F143" s="79"/>
      <c r="G143" s="79"/>
      <c r="H143" s="79"/>
      <c r="I143" s="79"/>
      <c r="J143" s="79"/>
      <c r="K143" s="79"/>
      <c r="L143" s="79"/>
      <c r="M143" s="79"/>
    </row>
    <row r="144" spans="1:13" x14ac:dyDescent="0.25">
      <c r="A144" s="91" t="s">
        <v>67</v>
      </c>
      <c r="B144" s="79"/>
      <c r="C144" s="79"/>
      <c r="D144" s="79"/>
      <c r="E144" s="79"/>
      <c r="F144" s="79"/>
      <c r="G144" s="79"/>
      <c r="H144" s="79"/>
      <c r="I144" s="79"/>
      <c r="J144" s="79"/>
      <c r="K144" s="79"/>
      <c r="L144" s="79"/>
      <c r="M144" s="79"/>
    </row>
    <row r="145" spans="1:13" x14ac:dyDescent="0.25">
      <c r="A145" s="91"/>
      <c r="B145" s="79"/>
      <c r="C145" s="79"/>
      <c r="D145" s="79"/>
      <c r="E145" s="79"/>
      <c r="F145" s="79"/>
      <c r="G145" s="79"/>
      <c r="H145" s="79"/>
      <c r="I145" s="79"/>
      <c r="J145" s="79"/>
      <c r="K145" s="79"/>
      <c r="L145" s="79"/>
      <c r="M145" s="79"/>
    </row>
    <row r="146" spans="1:13" x14ac:dyDescent="0.25">
      <c r="A146" s="91" t="s">
        <v>68</v>
      </c>
      <c r="E146" s="89"/>
      <c r="G146" s="86"/>
    </row>
    <row r="147" spans="1:13" x14ac:dyDescent="0.25">
      <c r="A147" s="91" t="s">
        <v>69</v>
      </c>
      <c r="E147" s="89"/>
      <c r="G147" s="86"/>
    </row>
    <row r="148" spans="1:13" x14ac:dyDescent="0.25">
      <c r="A148" s="79" t="s">
        <v>19</v>
      </c>
      <c r="B148" s="79"/>
      <c r="C148" s="79"/>
      <c r="D148" s="79"/>
      <c r="E148" s="79"/>
      <c r="F148" s="79"/>
      <c r="G148" s="79"/>
      <c r="H148" s="79"/>
      <c r="I148" s="79"/>
      <c r="J148" s="79"/>
      <c r="K148" s="79"/>
      <c r="L148" s="79"/>
      <c r="M148" s="79"/>
    </row>
    <row r="149" spans="1:13" x14ac:dyDescent="0.25">
      <c r="A149" s="91" t="s">
        <v>32</v>
      </c>
      <c r="B149" s="91"/>
      <c r="C149" s="79"/>
      <c r="D149" s="79"/>
      <c r="E149" s="79"/>
      <c r="F149" s="79"/>
      <c r="G149" s="130">
        <f>ROUND(ROUND(D85/2087,2)*1.5,2)</f>
        <v>45.21</v>
      </c>
      <c r="I149" s="79"/>
      <c r="J149" s="79"/>
      <c r="K149" s="79"/>
      <c r="L149" s="79"/>
      <c r="M149" s="79"/>
    </row>
    <row r="150" spans="1:13" x14ac:dyDescent="0.25">
      <c r="A150" s="79"/>
      <c r="B150" s="79"/>
      <c r="C150" s="79"/>
      <c r="D150" s="79"/>
      <c r="E150" s="79"/>
      <c r="F150" s="79"/>
      <c r="G150" s="79"/>
      <c r="H150" s="79"/>
      <c r="I150" s="79"/>
      <c r="J150" s="79"/>
      <c r="K150" s="79"/>
      <c r="L150" s="79"/>
      <c r="M150" s="79"/>
    </row>
    <row r="151" spans="1:13" x14ac:dyDescent="0.25">
      <c r="A151" s="91" t="s">
        <v>35</v>
      </c>
      <c r="B151" s="91"/>
      <c r="C151" s="79"/>
      <c r="D151" s="79"/>
      <c r="E151" s="79"/>
      <c r="F151" s="79"/>
      <c r="G151" s="79"/>
      <c r="H151" s="79"/>
      <c r="I151" s="79"/>
      <c r="J151" s="79"/>
      <c r="K151" s="79"/>
      <c r="L151" s="79"/>
      <c r="M151" s="79"/>
    </row>
  </sheetData>
  <sheetProtection algorithmName="SHA-512" hashValue="njw2uuX8v5WTP88vmMMMdnCm+eDDeYfEMoDUtPvPGJc/arxCQd1JMmjC6aNfTYsC69HYw6IgO06Z32G5H6+yZQ==" saltValue="8ACbzHzDX2h4fu0w0rQR7Q==" spinCount="100000" sheet="1" objects="1" scenarios="1"/>
  <mergeCells count="4">
    <mergeCell ref="F4:I4"/>
    <mergeCell ref="G5:H5"/>
    <mergeCell ref="A1:M1"/>
    <mergeCell ref="A2:M2"/>
  </mergeCells>
  <phoneticPr fontId="0" type="noConversion"/>
  <hyperlinks>
    <hyperlink ref="G5:H5" location="'Start Page'!G2" display="Return to Start Page" xr:uid="{00000000-0004-0000-0700-000000000000}"/>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38</vt:i4>
      </vt:variant>
    </vt:vector>
  </HeadingPairs>
  <TitlesOfParts>
    <vt:vector size="46"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Inspectors</vt:lpstr>
      <vt:lpstr>Locality</vt:lpstr>
      <vt:lpstr>Post</vt:lpstr>
      <vt:lpstr>'Chief, Training, Inspectors'!Print_Area</vt:lpstr>
      <vt:lpstr>'Locality Rates'!Print_Area</vt:lpstr>
      <vt:lpstr>Shift</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Fanchi</cp:lastModifiedBy>
  <cp:lastPrinted>2020-01-04T17:21:15Z</cp:lastPrinted>
  <dcterms:created xsi:type="dcterms:W3CDTF">1999-02-27T03:27:03Z</dcterms:created>
  <dcterms:modified xsi:type="dcterms:W3CDTF">2023-01-24T15:20:17Z</dcterms:modified>
</cp:coreProperties>
</file>